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0" yWindow="15" windowWidth="12330" windowHeight="8100"/>
  </bookViews>
  <sheets>
    <sheet name="Foglio1" sheetId="1" r:id="rId1"/>
    <sheet name="Foglio2" sheetId="3" r:id="rId2"/>
    <sheet name="Foglio3" sheetId="4" r:id="rId3"/>
    <sheet name="Foglio4" sheetId="5" r:id="rId4"/>
  </sheets>
  <definedNames>
    <definedName name="_xlnm.Print_Area" localSheetId="0">Foglio1!$A$1:$K$84</definedName>
    <definedName name="_xlnm.Print_Area" localSheetId="1">Foglio2!$A$1:$K$115</definedName>
  </definedNames>
  <calcPr calcId="125725"/>
</workbook>
</file>

<file path=xl/calcChain.xml><?xml version="1.0" encoding="utf-8"?>
<calcChain xmlns="http://schemas.openxmlformats.org/spreadsheetml/2006/main">
  <c r="E47" i="5"/>
  <c r="E46"/>
  <c r="E45"/>
  <c r="E44"/>
  <c r="E43"/>
  <c r="E42"/>
  <c r="E41"/>
  <c r="E40"/>
  <c r="E39"/>
  <c r="E38"/>
  <c r="E37"/>
  <c r="E36"/>
  <c r="E35"/>
  <c r="E34"/>
  <c r="E33" l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G7" s="1"/>
  <c r="D129" i="4"/>
  <c r="E129" s="1"/>
  <c r="D128"/>
  <c r="E128" s="1"/>
  <c r="D127"/>
  <c r="E127" s="1"/>
  <c r="E109"/>
  <c r="E108"/>
  <c r="E107"/>
  <c r="D105"/>
  <c r="E105" s="1"/>
  <c r="D104"/>
  <c r="E104" s="1"/>
  <c r="D103"/>
  <c r="E103" s="1"/>
  <c r="G103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6"/>
  <c r="E106" s="1"/>
  <c r="D96"/>
  <c r="F95"/>
  <c r="F96" s="1"/>
  <c r="F97" s="1"/>
  <c r="B89"/>
  <c r="E65"/>
  <c r="G65" s="1"/>
  <c r="E64"/>
  <c r="G64" s="1"/>
  <c r="E63"/>
  <c r="G63" s="1"/>
  <c r="E62"/>
  <c r="G62" s="1"/>
  <c r="E61"/>
  <c r="G61" s="1"/>
  <c r="E60"/>
  <c r="G60" s="1"/>
  <c r="E59"/>
  <c r="G59" s="1"/>
  <c r="D88"/>
  <c r="E88" s="1"/>
  <c r="G88" s="1"/>
  <c r="D87"/>
  <c r="E87" s="1"/>
  <c r="G87" s="1"/>
  <c r="D86"/>
  <c r="E86" s="1"/>
  <c r="G86" s="1"/>
  <c r="D85"/>
  <c r="E85" s="1"/>
  <c r="G85" s="1"/>
  <c r="D84"/>
  <c r="E84" s="1"/>
  <c r="G84" s="1"/>
  <c r="D83"/>
  <c r="E83" s="1"/>
  <c r="G83" s="1"/>
  <c r="D82"/>
  <c r="E82" s="1"/>
  <c r="G82" s="1"/>
  <c r="D81"/>
  <c r="E81" s="1"/>
  <c r="G81" s="1"/>
  <c r="D80"/>
  <c r="E80" s="1"/>
  <c r="G80" s="1"/>
  <c r="D79"/>
  <c r="E79" s="1"/>
  <c r="G79" s="1"/>
  <c r="D78"/>
  <c r="E78" s="1"/>
  <c r="G78" s="1"/>
  <c r="D77"/>
  <c r="E77" s="1"/>
  <c r="G77" s="1"/>
  <c r="D76"/>
  <c r="E76" s="1"/>
  <c r="G76" s="1"/>
  <c r="D75"/>
  <c r="E75" s="1"/>
  <c r="G75" s="1"/>
  <c r="D74"/>
  <c r="E74" s="1"/>
  <c r="G74" s="1"/>
  <c r="D73"/>
  <c r="E73" s="1"/>
  <c r="G73" s="1"/>
  <c r="D72"/>
  <c r="E72" s="1"/>
  <c r="G72" s="1"/>
  <c r="D71"/>
  <c r="E71" s="1"/>
  <c r="G71" s="1"/>
  <c r="D70"/>
  <c r="E70" s="1"/>
  <c r="G70" s="1"/>
  <c r="D69"/>
  <c r="E69" s="1"/>
  <c r="G69" s="1"/>
  <c r="D68"/>
  <c r="E68" s="1"/>
  <c r="G68" s="1"/>
  <c r="D67"/>
  <c r="E67" s="1"/>
  <c r="G67" s="1"/>
  <c r="D66"/>
  <c r="E66" s="1"/>
  <c r="G66" s="1"/>
  <c r="F52"/>
  <c r="G52" s="1"/>
  <c r="D53"/>
  <c r="B46"/>
  <c r="G8" i="5" l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104" i="4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E135" s="1"/>
  <c r="G135" s="1"/>
  <c r="G89"/>
  <c r="D91" s="1"/>
  <c r="D97" s="1"/>
  <c r="G97" s="1"/>
  <c r="F53"/>
  <c r="F54" s="1"/>
  <c r="G95"/>
  <c r="G96"/>
  <c r="G34" i="5" l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E52" s="1"/>
  <c r="G52" s="1"/>
  <c r="G98" i="4"/>
  <c r="D98"/>
  <c r="G53"/>
  <c r="G54" i="5" l="1"/>
  <c r="F57" s="1"/>
  <c r="D42" i="4"/>
  <c r="E42" s="1"/>
  <c r="G42" s="1"/>
  <c r="D41"/>
  <c r="E41" s="1"/>
  <c r="G41" s="1"/>
  <c r="D40"/>
  <c r="E40" s="1"/>
  <c r="G40" s="1"/>
  <c r="D39"/>
  <c r="E39" s="1"/>
  <c r="G39" s="1"/>
  <c r="D38"/>
  <c r="E38" s="1"/>
  <c r="G38" s="1"/>
  <c r="D37"/>
  <c r="E37" s="1"/>
  <c r="G37" s="1"/>
  <c r="D36"/>
  <c r="E36" s="1"/>
  <c r="G36" s="1"/>
  <c r="D35"/>
  <c r="E35" s="1"/>
  <c r="G35" s="1"/>
  <c r="F27"/>
  <c r="F28" s="1"/>
  <c r="F29" s="1"/>
  <c r="F30" s="1"/>
  <c r="E30"/>
  <c r="E29"/>
  <c r="E28"/>
  <c r="E27"/>
  <c r="G27" s="1"/>
  <c r="D29"/>
  <c r="D28"/>
  <c r="D17"/>
  <c r="E17" s="1"/>
  <c r="G17" s="1"/>
  <c r="D16"/>
  <c r="E16" s="1"/>
  <c r="G16" s="1"/>
  <c r="D15"/>
  <c r="E15" s="1"/>
  <c r="G15" s="1"/>
  <c r="B21"/>
  <c r="F58" i="5" l="1"/>
  <c r="F60" s="1"/>
  <c r="F61"/>
  <c r="G56"/>
  <c r="G59" s="1"/>
  <c r="D18" i="4"/>
  <c r="D19" s="1"/>
  <c r="D20" s="1"/>
  <c r="E20" s="1"/>
  <c r="G20" s="1"/>
  <c r="D43"/>
  <c r="G29"/>
  <c r="G28"/>
  <c r="G8"/>
  <c r="E43" l="1"/>
  <c r="G43" s="1"/>
  <c r="D44"/>
  <c r="E18"/>
  <c r="G18" s="1"/>
  <c r="E19"/>
  <c r="G19" s="1"/>
  <c r="G21" s="1"/>
  <c r="D23" s="1"/>
  <c r="D30" s="1"/>
  <c r="D31" s="1"/>
  <c r="B98" i="3"/>
  <c r="G98" s="1"/>
  <c r="B97"/>
  <c r="G97" s="1"/>
  <c r="B96"/>
  <c r="G96" s="1"/>
  <c r="B95"/>
  <c r="G95" s="1"/>
  <c r="B94"/>
  <c r="G94" s="1"/>
  <c r="B93"/>
  <c r="G93" s="1"/>
  <c r="B92"/>
  <c r="G92" s="1"/>
  <c r="B91"/>
  <c r="G91" s="1"/>
  <c r="B90"/>
  <c r="G90" s="1"/>
  <c r="B89"/>
  <c r="G89" s="1"/>
  <c r="B88"/>
  <c r="G88" s="1"/>
  <c r="B87"/>
  <c r="G87" s="1"/>
  <c r="B86"/>
  <c r="G86" s="1"/>
  <c r="B85"/>
  <c r="G85" s="1"/>
  <c r="B84"/>
  <c r="B83"/>
  <c r="G83" s="1"/>
  <c r="B82"/>
  <c r="G82" s="1"/>
  <c r="B81"/>
  <c r="G81" s="1"/>
  <c r="B80"/>
  <c r="G80" s="1"/>
  <c r="B79"/>
  <c r="G79" s="1"/>
  <c r="B78"/>
  <c r="G78" s="1"/>
  <c r="B77"/>
  <c r="G77" s="1"/>
  <c r="B76"/>
  <c r="G76" s="1"/>
  <c r="B75"/>
  <c r="G75" s="1"/>
  <c r="B74"/>
  <c r="G74" s="1"/>
  <c r="B73"/>
  <c r="G73" s="1"/>
  <c r="K73" s="1"/>
  <c r="G84"/>
  <c r="G67"/>
  <c r="G66"/>
  <c r="G65"/>
  <c r="G64"/>
  <c r="B64"/>
  <c r="B66" s="1"/>
  <c r="I66" l="1"/>
  <c r="K66" s="1"/>
  <c r="I64"/>
  <c r="K64" s="1"/>
  <c r="G30" i="4"/>
  <c r="G31" s="1"/>
  <c r="E44"/>
  <c r="G44" s="1"/>
  <c r="D45"/>
  <c r="E45" s="1"/>
  <c r="G45" s="1"/>
  <c r="K74" i="3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G103" s="1"/>
  <c r="K103" s="1"/>
  <c r="B65"/>
  <c r="I65" s="1"/>
  <c r="K65" s="1"/>
  <c r="G46" i="4" l="1"/>
  <c r="D48" s="1"/>
  <c r="D54" s="1"/>
  <c r="G54" s="1"/>
  <c r="G55" s="1"/>
  <c r="G137" s="1"/>
  <c r="F141" s="1"/>
  <c r="D58" i="3"/>
  <c r="F145" i="4" l="1"/>
  <c r="G140"/>
  <c r="G143" s="1"/>
  <c r="F142"/>
  <c r="F144" s="1"/>
  <c r="D55"/>
  <c r="B57" i="3"/>
  <c r="B56"/>
  <c r="B55"/>
  <c r="B54"/>
  <c r="B53"/>
  <c r="B52"/>
  <c r="B51"/>
  <c r="B50"/>
  <c r="B48"/>
  <c r="B49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E57" l="1"/>
  <c r="K57" s="1"/>
  <c r="E56"/>
  <c r="K56" s="1"/>
  <c r="E55"/>
  <c r="K55" s="1"/>
  <c r="E54"/>
  <c r="K54" s="1"/>
  <c r="E53"/>
  <c r="K53" s="1"/>
  <c r="E52"/>
  <c r="K52" s="1"/>
  <c r="E51"/>
  <c r="K51" s="1"/>
  <c r="E50"/>
  <c r="K50" s="1"/>
  <c r="E49"/>
  <c r="K49" s="1"/>
  <c r="E48"/>
  <c r="K48" s="1"/>
  <c r="E47"/>
  <c r="K47" s="1"/>
  <c r="E46"/>
  <c r="K46" s="1"/>
  <c r="E45"/>
  <c r="K45" s="1"/>
  <c r="E44"/>
  <c r="K44" s="1"/>
  <c r="E43"/>
  <c r="K43" s="1"/>
  <c r="E42"/>
  <c r="K42" s="1"/>
  <c r="E41"/>
  <c r="K41" s="1"/>
  <c r="E40"/>
  <c r="K40" s="1"/>
  <c r="E39"/>
  <c r="K39" s="1"/>
  <c r="E38"/>
  <c r="K38" s="1"/>
  <c r="E37"/>
  <c r="K37" s="1"/>
  <c r="E36"/>
  <c r="K36" s="1"/>
  <c r="E35"/>
  <c r="K35" s="1"/>
  <c r="E34"/>
  <c r="K34" s="1"/>
  <c r="E33"/>
  <c r="K33" s="1"/>
  <c r="E32"/>
  <c r="K32" s="1"/>
  <c r="E31"/>
  <c r="K31" s="1"/>
  <c r="E30"/>
  <c r="K30" s="1"/>
  <c r="E29"/>
  <c r="K29" s="1"/>
  <c r="K58" l="1"/>
  <c r="D59" s="1"/>
  <c r="B67" s="1"/>
  <c r="I67" s="1"/>
  <c r="B68"/>
  <c r="K67" l="1"/>
  <c r="I68"/>
  <c r="K68" s="1"/>
  <c r="G17"/>
  <c r="J22" l="1"/>
  <c r="G18"/>
  <c r="G20" s="1"/>
  <c r="J17"/>
  <c r="J18" l="1"/>
  <c r="J20"/>
  <c r="G21"/>
  <c r="J21" s="1"/>
  <c r="K9"/>
  <c r="K8"/>
  <c r="B67" i="1"/>
  <c r="G67" s="1"/>
  <c r="B66"/>
  <c r="G66" s="1"/>
  <c r="B65"/>
  <c r="G65" s="1"/>
  <c r="B64"/>
  <c r="G64" s="1"/>
  <c r="B63"/>
  <c r="G63" s="1"/>
  <c r="B62"/>
  <c r="G62" s="1"/>
  <c r="K62" s="1"/>
  <c r="G23" i="3" l="1"/>
  <c r="G24" s="1"/>
  <c r="J105" s="1"/>
  <c r="I109" s="1"/>
  <c r="K63" i="1"/>
  <c r="K64" s="1"/>
  <c r="K65" s="1"/>
  <c r="K66" s="1"/>
  <c r="K67" s="1"/>
  <c r="G72" s="1"/>
  <c r="K72" s="1"/>
  <c r="I110" i="3" l="1"/>
  <c r="I112" s="1"/>
  <c r="I113"/>
  <c r="K108"/>
  <c r="J23"/>
  <c r="J24"/>
  <c r="E54" i="1"/>
  <c r="E53"/>
  <c r="E52"/>
  <c r="E51"/>
  <c r="A50"/>
  <c r="E50" s="1"/>
  <c r="B50"/>
  <c r="B53" s="1"/>
  <c r="H50" l="1"/>
  <c r="B51"/>
  <c r="H51" s="1"/>
  <c r="J51" s="1"/>
  <c r="H53"/>
  <c r="J53" s="1"/>
  <c r="B52"/>
  <c r="H52" s="1"/>
  <c r="J52" s="1"/>
  <c r="J50"/>
  <c r="B41" l="1"/>
  <c r="E41" s="1"/>
  <c r="J41" s="1"/>
  <c r="B40"/>
  <c r="E40" s="1"/>
  <c r="J40" s="1"/>
  <c r="B39"/>
  <c r="E39" s="1"/>
  <c r="J39" s="1"/>
  <c r="B38"/>
  <c r="E38" s="1"/>
  <c r="J38" s="1"/>
  <c r="B37"/>
  <c r="E37" s="1"/>
  <c r="J37" s="1"/>
  <c r="B36"/>
  <c r="E36" s="1"/>
  <c r="J36" s="1"/>
  <c r="B35"/>
  <c r="E35" s="1"/>
  <c r="J35" s="1"/>
  <c r="B34"/>
  <c r="E34" s="1"/>
  <c r="J34" s="1"/>
  <c r="B33"/>
  <c r="E33" s="1"/>
  <c r="J33" s="1"/>
  <c r="B32"/>
  <c r="E32" s="1"/>
  <c r="J32" s="1"/>
  <c r="B31"/>
  <c r="E31" s="1"/>
  <c r="J31" s="1"/>
  <c r="D42"/>
  <c r="J23"/>
  <c r="J18"/>
  <c r="G19"/>
  <c r="G21" s="1"/>
  <c r="J42" l="1"/>
  <c r="J43" s="1"/>
  <c r="G22"/>
  <c r="J22" s="1"/>
  <c r="J21"/>
  <c r="J19"/>
  <c r="B54" l="1"/>
  <c r="J44"/>
  <c r="G24"/>
  <c r="H54" l="1"/>
  <c r="B55"/>
  <c r="J24"/>
  <c r="J54" l="1"/>
  <c r="H55"/>
  <c r="J55" s="1"/>
  <c r="K9" l="1"/>
  <c r="K8"/>
  <c r="G25" s="1"/>
  <c r="J74" s="1"/>
  <c r="I78" l="1"/>
  <c r="J25"/>
  <c r="K10"/>
  <c r="I82" l="1"/>
  <c r="K77"/>
  <c r="I79"/>
  <c r="I81" s="1"/>
</calcChain>
</file>

<file path=xl/sharedStrings.xml><?xml version="1.0" encoding="utf-8"?>
<sst xmlns="http://schemas.openxmlformats.org/spreadsheetml/2006/main" count="286" uniqueCount="155">
  <si>
    <t>Anzianità utile ai fini del calcolo</t>
  </si>
  <si>
    <t>Anzianità computabile</t>
  </si>
  <si>
    <t xml:space="preserve"> rendimento </t>
  </si>
  <si>
    <t>anni</t>
  </si>
  <si>
    <t>mesi</t>
  </si>
  <si>
    <t>Totale Quota A + Quota B</t>
  </si>
  <si>
    <t>Totale Quote A + B + D</t>
  </si>
  <si>
    <t>Elementi retributivi utili per il calcolo della Quota "A"</t>
  </si>
  <si>
    <t>T.E.I.</t>
  </si>
  <si>
    <t>I.I.S.</t>
  </si>
  <si>
    <t>Superminimo</t>
  </si>
  <si>
    <t>Anzianità complessiva</t>
  </si>
  <si>
    <t>Elementi Retributivi utili a pensione</t>
  </si>
  <si>
    <t>a) T.E.I.  Al netto dell'IIS</t>
  </si>
  <si>
    <t>b) 1/12 del Premio di esercizio (A.P.P.)</t>
  </si>
  <si>
    <t>c) ratei classe in maturazione - 20/24</t>
  </si>
  <si>
    <t>d) totale Legge 177/76 (da aumentare del 18%)</t>
  </si>
  <si>
    <t>e) aumento del 18%</t>
  </si>
  <si>
    <t>f) I.I.S.</t>
  </si>
  <si>
    <t>g) importo della base pensionanbile</t>
  </si>
  <si>
    <t>importi mensili</t>
  </si>
  <si>
    <t>importi annuali</t>
  </si>
  <si>
    <t>-</t>
  </si>
  <si>
    <r>
      <t>h)</t>
    </r>
    <r>
      <rPr>
        <b/>
        <sz val="11"/>
        <color theme="1"/>
        <rFont val="Calibri"/>
        <family val="2"/>
        <scheme val="minor"/>
      </rPr>
      <t xml:space="preserve"> importo della Quota A</t>
    </r>
  </si>
  <si>
    <t>Calcolo della QUOTA "B"</t>
  </si>
  <si>
    <t>Periodo di riferimento: ultimi 3.600 gg antecedenti la decorrenza della pensione</t>
  </si>
  <si>
    <t>Determinazione della retribuzione media pensionabile</t>
  </si>
  <si>
    <t>Anno</t>
  </si>
  <si>
    <t xml:space="preserve">gg </t>
  </si>
  <si>
    <t>importi da computare</t>
  </si>
  <si>
    <t>Indici di rivalutazione</t>
  </si>
  <si>
    <t xml:space="preserve"> Retribuzione        annua pensionabile</t>
  </si>
  <si>
    <t xml:space="preserve">   </t>
  </si>
  <si>
    <t>T o t a l e</t>
  </si>
  <si>
    <t>Retribuzione media mensile rivalutata</t>
  </si>
  <si>
    <t>Retribuzione media annua rivalutata</t>
  </si>
  <si>
    <t>TETTO PENSIONABILE</t>
  </si>
  <si>
    <t>Importo mensile</t>
  </si>
  <si>
    <t>Mesi</t>
  </si>
  <si>
    <t>Retribuzioni pensionabili</t>
  </si>
  <si>
    <t>Rendimento annuo</t>
  </si>
  <si>
    <t>Rendimento totale</t>
  </si>
  <si>
    <t>Importi mensili</t>
  </si>
  <si>
    <t>Importi annui</t>
  </si>
  <si>
    <t>Tot</t>
  </si>
  <si>
    <t xml:space="preserve"> QUOTA "A"</t>
  </si>
  <si>
    <t xml:space="preserve"> QUOTA "B"</t>
  </si>
  <si>
    <t>Retribuzione</t>
  </si>
  <si>
    <t>gg</t>
  </si>
  <si>
    <t>aliquota</t>
  </si>
  <si>
    <t xml:space="preserve"> Quota B -   Servizio utile dal 1.1.1993 al 31.12.2011</t>
  </si>
  <si>
    <t xml:space="preserve"> Quota A -   Servizio utile alla data del  31.12.1992   </t>
  </si>
  <si>
    <t xml:space="preserve"> Quota D -   Servizio utile dal 1.1.2012 al 30.9.2017</t>
  </si>
  <si>
    <t>Importo accantonato</t>
  </si>
  <si>
    <t>coefficiente capitalizzazione</t>
  </si>
  <si>
    <t>Montante</t>
  </si>
  <si>
    <t>Calcolo della Pensione Netta</t>
  </si>
  <si>
    <t>Importi        mensili</t>
  </si>
  <si>
    <t>Importi             annuali</t>
  </si>
  <si>
    <t>Pensione lorda, comprensiva della 13^ mensilità</t>
  </si>
  <si>
    <t>Pensione mensile lorda</t>
  </si>
  <si>
    <t>IRPEF  (7.587,98 * 43% - 569,167)</t>
  </si>
  <si>
    <t>Detrazione per redditi da pensione (non compete)</t>
  </si>
  <si>
    <t>Pensione mensile netta</t>
  </si>
  <si>
    <t>Tredicesima netta</t>
  </si>
  <si>
    <t>Servizio computabile per il triennio 1993-1995</t>
  </si>
  <si>
    <t xml:space="preserve">Servizio utile alla data del  31.12.1992   </t>
  </si>
  <si>
    <t>Totale servizio alla decorrenza della pensione</t>
  </si>
  <si>
    <t xml:space="preserve"> </t>
  </si>
  <si>
    <t xml:space="preserve"> QUOTA "B" - </t>
  </si>
  <si>
    <t>Coefficiente Rivalutazione</t>
  </si>
  <si>
    <t>Montante                          Rivalutato</t>
  </si>
  <si>
    <t>Importi da considerare</t>
  </si>
  <si>
    <t>Periodo di riferimento: dal 1°.1.1993 al 3.8.2021</t>
  </si>
  <si>
    <t>Periodo di riferimento: dal 1°.1.2012 al 30.9.2017</t>
  </si>
  <si>
    <t>Calcolo QUOTA "B"</t>
  </si>
  <si>
    <t>base pensionabile</t>
  </si>
  <si>
    <t>importo annuo</t>
  </si>
  <si>
    <t>importo mensile</t>
  </si>
  <si>
    <t>% rendimento</t>
  </si>
  <si>
    <t>annuo</t>
  </si>
  <si>
    <t>totale</t>
  </si>
  <si>
    <t>Tetto pensionabile 2021</t>
  </si>
  <si>
    <t>Retrib.media mensile</t>
  </si>
  <si>
    <t>QUOTA "C"</t>
  </si>
  <si>
    <t>Periodo di riferimento: dal 1°.1.1996 al 3.8.2021</t>
  </si>
  <si>
    <t>Importo della pensione   (quota A + quota B + quota C)</t>
  </si>
  <si>
    <r>
      <rPr>
        <b/>
        <sz val="12"/>
        <color theme="1"/>
        <rFont val="Calibri"/>
        <family val="2"/>
        <scheme val="minor"/>
      </rPr>
      <t>Calcolo Quota "C"</t>
    </r>
    <r>
      <rPr>
        <b/>
        <sz val="11"/>
        <color theme="1"/>
        <rFont val="Calibri"/>
        <family val="2"/>
        <scheme val="minor"/>
      </rPr>
      <t xml:space="preserve"> = Montante * coeff.Trasformazione / 13</t>
    </r>
  </si>
  <si>
    <t>età</t>
  </si>
  <si>
    <t>Coeff. Trasformazione</t>
  </si>
  <si>
    <t>Montante / 13</t>
  </si>
  <si>
    <t xml:space="preserve">65 a, 2 m, 21 gg </t>
  </si>
  <si>
    <t>Montante * Coeff. Trasform.</t>
  </si>
  <si>
    <t>(*) Dall'anno successivo  verranno applicate le trattenute per addizionali regionale e comunale (circa 3,%, in 11 rate)</t>
  </si>
  <si>
    <t>Esempio di Dirigente:                                                                                                                                                               - nato l'11.6.1953                                                                                                                                                                           - assunto il 1°.12.1979                                                                                                                                                                           - ha riscattato 5 anni di laurea                                                                                                                                       - calcolo con il "Sistema Retributivo"perché aveva 18 anni di contributi al 31.12.1995                                                      - calcolo con il "Sistema Contributivo" dal 1°.1.2012                                                                                                                   - decorrenza pensione 1°.10.2017 con 42 anni e 10 mesi di anzianità contributiva</t>
  </si>
  <si>
    <t>importi rivalutati</t>
  </si>
  <si>
    <t xml:space="preserve">64 a, 3 m, 20 gg </t>
  </si>
  <si>
    <t>Importi annuali</t>
  </si>
  <si>
    <r>
      <t xml:space="preserve">Dirigente iscritto al Fondo Speciale FS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Pensione RETRIBUTIVA con decorrenza </t>
    </r>
    <r>
      <rPr>
        <b/>
        <sz val="14"/>
        <color theme="1"/>
        <rFont val="Calibri"/>
        <family val="2"/>
        <scheme val="minor"/>
      </rPr>
      <t>1.10.2017</t>
    </r>
  </si>
  <si>
    <r>
      <t xml:space="preserve">Dirigente iscritto al Fondo Speciale FS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Pensione MISTA con decorrenza </t>
    </r>
    <r>
      <rPr>
        <b/>
        <sz val="14"/>
        <color theme="1"/>
        <rFont val="Calibri"/>
        <family val="2"/>
        <scheme val="minor"/>
      </rPr>
      <t>4.8.2021</t>
    </r>
  </si>
  <si>
    <r>
      <t>Esempio di Dirigente                                                                                                                                                            - nato il 12.5.1956                                                                                                                                                                                                                 - assunto il 4.2.1983                                                                                                                                                                                        - ha riscattato 5 anni di laurea                                                                                                                                                                                                        - calcolo con "</t>
    </r>
    <r>
      <rPr>
        <b/>
        <sz val="11"/>
        <color theme="1"/>
        <rFont val="Calibri"/>
        <family val="2"/>
        <scheme val="minor"/>
      </rPr>
      <t>Sistema Misto</t>
    </r>
    <r>
      <rPr>
        <sz val="11"/>
        <color theme="1"/>
        <rFont val="Calibri"/>
        <family val="2"/>
        <scheme val="minor"/>
      </rPr>
      <t>" perché al 31.12.1995 non ha 18 anni di contributi                                                                - decorrenza pensione 4.8.2021 con anzianità contributiva di 43 anni e 6 mesi</t>
    </r>
  </si>
  <si>
    <r>
      <t xml:space="preserve">Esempio di Dirigente:                                                                                                                                                                          - nato il 22.9.1957                                                                                                                                                                                                    - assunto il 10.10.1983 con contributi versati nella ex gestione INPDAI                                                                                                                                                            - ha riscattato 5 anni di laurea                                                                                                                                                          - dal 1°.7.2003 nei ruoli delle FS                                                                                                                                                                    - calcolo con </t>
    </r>
    <r>
      <rPr>
        <b/>
        <sz val="11"/>
        <color theme="1"/>
        <rFont val="Calibri"/>
        <family val="2"/>
        <scheme val="minor"/>
      </rPr>
      <t>Sistema Misto</t>
    </r>
    <r>
      <rPr>
        <sz val="11"/>
        <color theme="1"/>
        <rFont val="Calibri"/>
        <family val="2"/>
        <scheme val="minor"/>
      </rPr>
      <t xml:space="preserve"> perché nel 1995 aveva meno di 18 anni di contributi                                                                                  - decorrenza pensione  10.4.2022 con anzianità di 43+6 e con l'età di 64 anni, 6 mesi e 18 gg</t>
    </r>
  </si>
  <si>
    <t>ANZIANITA'  maturata  nella ex Gestione INPDAI</t>
  </si>
  <si>
    <t>ANZIANITA'  maturata  nella Gestione FPLD</t>
  </si>
  <si>
    <t>ANZIANITA'  utile complessiva</t>
  </si>
  <si>
    <t>Quota "A"            Servizio utile alla data del 31.12.1992</t>
  </si>
  <si>
    <t>Quota "B"            Servizio utile dal 1°.1.1993 al 31.12.2002</t>
  </si>
  <si>
    <t>Quota "C"             Servizio utile nel FPLD</t>
  </si>
  <si>
    <t>Settimane</t>
  </si>
  <si>
    <r>
      <t>Dirigente (</t>
    </r>
    <r>
      <rPr>
        <b/>
        <sz val="12"/>
        <color theme="1"/>
        <rFont val="Calibri"/>
        <family val="2"/>
        <scheme val="minor"/>
      </rPr>
      <t>ex INPDAI</t>
    </r>
    <r>
      <rPr>
        <b/>
        <sz val="14"/>
        <color theme="1"/>
        <rFont val="Calibri"/>
        <family val="2"/>
        <scheme val="minor"/>
      </rPr>
      <t xml:space="preserve">)  </t>
    </r>
    <r>
      <rPr>
        <b/>
        <sz val="12"/>
        <color theme="1"/>
        <rFont val="Calibri"/>
        <family val="2"/>
        <scheme val="minor"/>
      </rPr>
      <t>iscritto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al</t>
    </r>
    <r>
      <rPr>
        <b/>
        <sz val="14"/>
        <color theme="1"/>
        <rFont val="Calibri"/>
        <family val="2"/>
        <scheme val="minor"/>
      </rPr>
      <t xml:space="preserve"> Fondo Pensioni Lavoratori Dipendenti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Pensione MISTA con decorrenza </t>
    </r>
    <r>
      <rPr>
        <b/>
        <sz val="14"/>
        <color theme="1"/>
        <rFont val="Calibri"/>
        <family val="2"/>
        <scheme val="minor"/>
      </rPr>
      <t>10.4.2022</t>
    </r>
  </si>
  <si>
    <t>Importi computabili</t>
  </si>
  <si>
    <t>Sett.</t>
  </si>
  <si>
    <t>Retribuz.    Annua</t>
  </si>
  <si>
    <t>%                                      Rivalutaz.</t>
  </si>
  <si>
    <t>Retribuzione  rivalutata</t>
  </si>
  <si>
    <t>Quota "A"  - con riferimento alla ex Gestione INPDAI</t>
  </si>
  <si>
    <t>Tetto  2022</t>
  </si>
  <si>
    <r>
      <t xml:space="preserve">Calcolo </t>
    </r>
    <r>
      <rPr>
        <b/>
        <sz val="10"/>
        <color theme="1"/>
        <rFont val="Calibri"/>
        <family val="2"/>
        <scheme val="minor"/>
      </rPr>
      <t>della</t>
    </r>
    <r>
      <rPr>
        <b/>
        <sz val="11"/>
        <color theme="1"/>
        <rFont val="Calibri"/>
        <family val="2"/>
        <scheme val="minor"/>
      </rPr>
      <t xml:space="preserve"> Quota "A"</t>
    </r>
  </si>
  <si>
    <t>scaglioni pensionabili</t>
  </si>
  <si>
    <t>Retrib. sett.le</t>
  </si>
  <si>
    <t>coefficiente</t>
  </si>
  <si>
    <t>n. settimane</t>
  </si>
  <si>
    <t>Tetto</t>
  </si>
  <si>
    <t>Eccedenza tetto 33%</t>
  </si>
  <si>
    <t>Eccedenza tetto 24%</t>
  </si>
  <si>
    <t>Quota "B"  - con riferimento alla ex Gestione INPDAI</t>
  </si>
  <si>
    <r>
      <t xml:space="preserve">QUOTA "C" - </t>
    </r>
    <r>
      <rPr>
        <b/>
        <sz val="10"/>
        <color theme="1"/>
        <rFont val="Calibri"/>
        <family val="2"/>
        <scheme val="minor"/>
      </rPr>
      <t>periodo 1.1.1993-9.4.2022 rapportato al triennio 1993-1995</t>
    </r>
  </si>
  <si>
    <t>Retrib.media settimanale</t>
  </si>
  <si>
    <t>Calcolo QUOTA "C"</t>
  </si>
  <si>
    <t>Aliquota</t>
  </si>
  <si>
    <t>Accantonato</t>
  </si>
  <si>
    <t>Coeff.Capitalizzazione</t>
  </si>
  <si>
    <t>T  o  t  a  l  e</t>
  </si>
  <si>
    <r>
      <rPr>
        <b/>
        <sz val="11"/>
        <color theme="1"/>
        <rFont val="Calibri"/>
        <family val="2"/>
        <scheme val="minor"/>
      </rPr>
      <t xml:space="preserve">Calcolo QUOTA "C" = </t>
    </r>
    <r>
      <rPr>
        <b/>
        <sz val="10"/>
        <color theme="1"/>
        <rFont val="Calibri"/>
        <family val="2"/>
        <scheme val="minor"/>
      </rPr>
      <t>Montante * coeff. Trasformazione  /  13</t>
    </r>
  </si>
  <si>
    <t>Età</t>
  </si>
  <si>
    <t>Coeff.Trasform.</t>
  </si>
  <si>
    <t>64a, 6m, 18 gg</t>
  </si>
  <si>
    <t>Montante * coeff. Trasform.</t>
  </si>
  <si>
    <r>
      <t xml:space="preserve">Importo della Pensione Lorda </t>
    </r>
    <r>
      <rPr>
        <b/>
        <sz val="10"/>
        <color theme="1"/>
        <rFont val="Calibri"/>
        <family val="2"/>
        <scheme val="minor"/>
      </rPr>
      <t xml:space="preserve"> (gestione ex INPDAI + FPLD)</t>
    </r>
  </si>
  <si>
    <t>Pensione annua lorda, comprensiva della 13^ mensilità</t>
  </si>
  <si>
    <t xml:space="preserve">Irpef  </t>
  </si>
  <si>
    <t>Addizionali Regionale e Comunale (*)</t>
  </si>
  <si>
    <t>P e n s i o n e    n e t t a</t>
  </si>
  <si>
    <t>T r e d i c e s i m a     n e t t a</t>
  </si>
  <si>
    <t>Dall'anno successivo verranno applicate le addizionali regionale e comunale  (circa 3% per 11 mesi)</t>
  </si>
  <si>
    <t>Periodo di riferimento: intera vita lavorativa</t>
  </si>
  <si>
    <r>
      <t xml:space="preserve">Dirigente </t>
    </r>
    <r>
      <rPr>
        <b/>
        <sz val="12"/>
        <color theme="1"/>
        <rFont val="Calibri"/>
        <family val="2"/>
        <scheme val="minor"/>
      </rPr>
      <t>iscritto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al</t>
    </r>
    <r>
      <rPr>
        <b/>
        <sz val="14"/>
        <color theme="1"/>
        <rFont val="Calibri"/>
        <family val="2"/>
        <scheme val="minor"/>
      </rPr>
      <t xml:space="preserve"> Fondo Pensioni Lavoratori Dipendenti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decorrenza pensione   30.4.2041                </t>
    </r>
    <r>
      <rPr>
        <b/>
        <sz val="14"/>
        <color theme="1"/>
        <rFont val="Calibri"/>
        <family val="2"/>
        <scheme val="minor"/>
      </rPr>
      <t xml:space="preserve">                                             </t>
    </r>
  </si>
  <si>
    <t>64a, 2m, 22 gg</t>
  </si>
  <si>
    <r>
      <rPr>
        <b/>
        <sz val="11"/>
        <color theme="1"/>
        <rFont val="Calibri"/>
        <family val="2"/>
        <scheme val="minor"/>
      </rPr>
      <t>Esempio</t>
    </r>
    <r>
      <rPr>
        <sz val="11"/>
        <color theme="1"/>
        <rFont val="Calibri"/>
        <family val="2"/>
        <scheme val="minor"/>
      </rPr>
      <t>: - nato il 9.2.1977          - assunto il 1°.10.2001;  - ha riscattato 5 anni di laurea; - decorrenza pensione 30.4.2041 con 45+7 e all'età di 64 anni, 2 mesi e 22 giorni</t>
    </r>
  </si>
  <si>
    <t>N.B. - In questo esempio si vuole semplicemente indicare il sistema di calcolo: le retribuzioni annuali inserite non rispecchiano però i dati reali.</t>
  </si>
  <si>
    <t xml:space="preserve">Importo della Pensione Lorda  </t>
  </si>
  <si>
    <t>Calcolo QUOTA CONTRIBUTIVA = Montante * coeff. Trasformazione  /  13</t>
  </si>
  <si>
    <t xml:space="preserve"> QUOTA "C" - Sistema Contributivo</t>
  </si>
  <si>
    <t>Pensione lorda: Quota A + Quota B + Quota C</t>
  </si>
  <si>
    <t>QUOTA "C" - nel FPLD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</si>
</sst>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43" formatCode="_-* #,##0.00_-;\-* #,##0.00_-;_-* &quot;-&quot;??_-;_-@_-"/>
    <numFmt numFmtId="164" formatCode="0.000%"/>
    <numFmt numFmtId="165" formatCode="0.0000"/>
    <numFmt numFmtId="166" formatCode="0.000000"/>
    <numFmt numFmtId="167" formatCode="0.0000%"/>
    <numFmt numFmtId="168" formatCode="#,##0.000000_ ;\-#,##0.000000\ "/>
    <numFmt numFmtId="169" formatCode="#,##0.00_ ;\-#,##0.00\ "/>
    <numFmt numFmtId="170" formatCode="#,##0.00000000_ ;\-#,##0.00000000\ "/>
    <numFmt numFmtId="171" formatCode="0_ ;\-0\ "/>
  </numFmts>
  <fonts count="2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</cellStyleXfs>
  <cellXfs count="508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5" xfId="0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14" xfId="0" applyFont="1" applyBorder="1"/>
    <xf numFmtId="0" fontId="6" fillId="0" borderId="28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4" fontId="0" fillId="0" borderId="0" xfId="0" applyNumberFormat="1"/>
    <xf numFmtId="10" fontId="6" fillId="0" borderId="1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wrapText="1"/>
    </xf>
    <xf numFmtId="10" fontId="6" fillId="0" borderId="28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6" xfId="0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165" fontId="0" fillId="0" borderId="0" xfId="0" applyNumberFormat="1"/>
    <xf numFmtId="0" fontId="10" fillId="0" borderId="23" xfId="0" applyFont="1" applyBorder="1" applyAlignment="1">
      <alignment horizontal="center" vertical="center" wrapText="1"/>
    </xf>
    <xf numFmtId="4" fontId="0" fillId="0" borderId="7" xfId="0" applyNumberFormat="1" applyBorder="1"/>
    <xf numFmtId="4" fontId="0" fillId="0" borderId="9" xfId="0" applyNumberFormat="1" applyBorder="1"/>
    <xf numFmtId="4" fontId="0" fillId="0" borderId="12" xfId="0" applyNumberFormat="1" applyBorder="1"/>
    <xf numFmtId="4" fontId="6" fillId="0" borderId="2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0" fillId="0" borderId="11" xfId="0" applyFont="1" applyBorder="1"/>
    <xf numFmtId="1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11" fillId="0" borderId="17" xfId="0" applyFont="1" applyBorder="1" applyAlignment="1"/>
    <xf numFmtId="0" fontId="11" fillId="0" borderId="18" xfId="0" applyFont="1" applyBorder="1" applyAlignment="1">
      <alignment horizontal="center"/>
    </xf>
    <xf numFmtId="167" fontId="0" fillId="0" borderId="25" xfId="0" applyNumberFormat="1" applyBorder="1" applyAlignment="1"/>
    <xf numFmtId="4" fontId="0" fillId="0" borderId="7" xfId="0" applyNumberForma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6" fillId="0" borderId="11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3" fontId="3" fillId="0" borderId="50" xfId="1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/>
    </xf>
    <xf numFmtId="3" fontId="3" fillId="0" borderId="49" xfId="1" applyNumberFormat="1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/>
    </xf>
    <xf numFmtId="4" fontId="6" fillId="0" borderId="4" xfId="6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 wrapText="1"/>
    </xf>
    <xf numFmtId="0" fontId="0" fillId="0" borderId="4" xfId="0" applyBorder="1"/>
    <xf numFmtId="4" fontId="11" fillId="0" borderId="26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170" fontId="4" fillId="0" borderId="4" xfId="4" applyNumberFormat="1" applyFont="1" applyBorder="1" applyAlignment="1">
      <alignment horizontal="center" vertical="center"/>
    </xf>
    <xf numFmtId="170" fontId="4" fillId="0" borderId="11" xfId="4" applyNumberFormat="1" applyFont="1" applyBorder="1" applyAlignment="1">
      <alignment horizontal="center" vertical="center"/>
    </xf>
    <xf numFmtId="170" fontId="4" fillId="0" borderId="6" xfId="4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0" fontId="11" fillId="0" borderId="25" xfId="0" applyFont="1" applyBorder="1"/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/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center"/>
    </xf>
    <xf numFmtId="0" fontId="6" fillId="0" borderId="25" xfId="0" applyFont="1" applyBorder="1"/>
    <xf numFmtId="169" fontId="4" fillId="0" borderId="4" xfId="4" applyNumberFormat="1" applyFont="1" applyBorder="1" applyAlignment="1">
      <alignment horizontal="center" vertical="center"/>
    </xf>
    <xf numFmtId="169" fontId="4" fillId="0" borderId="4" xfId="4" applyNumberFormat="1" applyFont="1" applyBorder="1" applyAlignment="1">
      <alignment horizontal="center"/>
    </xf>
    <xf numFmtId="171" fontId="18" fillId="0" borderId="5" xfId="4" applyNumberFormat="1" applyFont="1" applyBorder="1" applyAlignment="1">
      <alignment horizontal="center" vertical="center" wrapText="1"/>
    </xf>
    <xf numFmtId="171" fontId="18" fillId="0" borderId="8" xfId="4" applyNumberFormat="1" applyFont="1" applyBorder="1" applyAlignment="1">
      <alignment horizontal="center" vertical="center" wrapText="1"/>
    </xf>
    <xf numFmtId="171" fontId="18" fillId="0" borderId="8" xfId="4" applyNumberFormat="1" applyFont="1" applyFill="1" applyBorder="1" applyAlignment="1">
      <alignment horizontal="center" vertical="center" wrapText="1"/>
    </xf>
    <xf numFmtId="171" fontId="18" fillId="0" borderId="10" xfId="4" applyNumberFormat="1" applyFont="1" applyFill="1" applyBorder="1" applyAlignment="1">
      <alignment horizontal="center" vertical="center" wrapText="1"/>
    </xf>
    <xf numFmtId="169" fontId="4" fillId="0" borderId="11" xfId="4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0" fontId="11" fillId="0" borderId="2" xfId="0" applyFont="1" applyBorder="1" applyAlignment="1"/>
    <xf numFmtId="0" fontId="11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69" fontId="0" fillId="0" borderId="0" xfId="0" applyNumberFormat="1"/>
    <xf numFmtId="169" fontId="4" fillId="0" borderId="0" xfId="4" applyNumberFormat="1" applyFont="1" applyBorder="1" applyAlignment="1">
      <alignment horizontal="center" vertical="center"/>
    </xf>
    <xf numFmtId="169" fontId="4" fillId="0" borderId="4" xfId="4" applyNumberFormat="1" applyFont="1" applyBorder="1" applyAlignment="1">
      <alignment horizontal="center" vertical="center" wrapText="1"/>
    </xf>
    <xf numFmtId="168" fontId="4" fillId="0" borderId="4" xfId="2" applyNumberFormat="1" applyFont="1" applyBorder="1" applyAlignment="1">
      <alignment horizontal="center"/>
    </xf>
    <xf numFmtId="168" fontId="4" fillId="0" borderId="4" xfId="3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166" fontId="6" fillId="0" borderId="4" xfId="0" applyNumberFormat="1" applyFont="1" applyFill="1" applyBorder="1" applyAlignment="1">
      <alignment horizontal="center"/>
    </xf>
    <xf numFmtId="171" fontId="18" fillId="0" borderId="27" xfId="4" applyNumberFormat="1" applyFont="1" applyFill="1" applyBorder="1" applyAlignment="1">
      <alignment horizontal="center" vertical="center" wrapText="1"/>
    </xf>
    <xf numFmtId="169" fontId="4" fillId="0" borderId="28" xfId="4" applyNumberFormat="1" applyFont="1" applyBorder="1" applyAlignment="1">
      <alignment horizontal="center"/>
    </xf>
    <xf numFmtId="166" fontId="6" fillId="0" borderId="28" xfId="0" applyNumberFormat="1" applyFont="1" applyFill="1" applyBorder="1" applyAlignment="1">
      <alignment horizontal="center"/>
    </xf>
    <xf numFmtId="167" fontId="0" fillId="0" borderId="41" xfId="0" applyNumberFormat="1" applyBorder="1" applyAlignment="1"/>
    <xf numFmtId="0" fontId="11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6" fillId="0" borderId="6" xfId="0" applyFont="1" applyBorder="1"/>
    <xf numFmtId="4" fontId="16" fillId="0" borderId="6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171" fontId="18" fillId="0" borderId="4" xfId="4" applyNumberFormat="1" applyFont="1" applyBorder="1" applyAlignment="1">
      <alignment horizontal="center" vertical="center" wrapText="1"/>
    </xf>
    <xf numFmtId="171" fontId="18" fillId="0" borderId="4" xfId="4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171" fontId="18" fillId="0" borderId="14" xfId="4" applyNumberFormat="1" applyFont="1" applyBorder="1" applyAlignment="1">
      <alignment horizontal="center" vertical="center" wrapText="1"/>
    </xf>
    <xf numFmtId="0" fontId="0" fillId="0" borderId="14" xfId="0" applyBorder="1"/>
    <xf numFmtId="0" fontId="10" fillId="0" borderId="26" xfId="0" applyFont="1" applyBorder="1" applyAlignment="1">
      <alignment horizontal="center" wrapText="1"/>
    </xf>
    <xf numFmtId="171" fontId="18" fillId="0" borderId="28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/>
    <xf numFmtId="4" fontId="0" fillId="0" borderId="0" xfId="0" applyNumberFormat="1" applyBorder="1" applyAlignment="1"/>
    <xf numFmtId="0" fontId="0" fillId="0" borderId="8" xfId="0" applyFill="1" applyBorder="1" applyAlignment="1"/>
    <xf numFmtId="0" fontId="0" fillId="0" borderId="4" xfId="0" applyFill="1" applyBorder="1" applyAlignment="1"/>
    <xf numFmtId="4" fontId="0" fillId="0" borderId="4" xfId="0" applyNumberForma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/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8" xfId="0" applyFont="1" applyFill="1" applyBorder="1" applyAlignment="1"/>
    <xf numFmtId="0" fontId="6" fillId="0" borderId="4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4" fontId="8" fillId="0" borderId="25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8" xfId="0" applyFont="1" applyBorder="1" applyAlignment="1"/>
    <xf numFmtId="0" fontId="6" fillId="0" borderId="4" xfId="0" applyFont="1" applyBorder="1" applyAlignment="1"/>
    <xf numFmtId="4" fontId="4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6" xfId="0" applyBorder="1" applyAlignment="1"/>
    <xf numFmtId="0" fontId="0" fillId="0" borderId="11" xfId="0" applyBorder="1" applyAlignment="1"/>
    <xf numFmtId="4" fontId="4" fillId="0" borderId="28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3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4" fontId="10" fillId="0" borderId="25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/>
    <xf numFmtId="0" fontId="6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Fill="1" applyBorder="1" applyAlignment="1"/>
    <xf numFmtId="0" fontId="0" fillId="0" borderId="11" xfId="0" applyFill="1" applyBorder="1" applyAlignment="1"/>
    <xf numFmtId="4" fontId="0" fillId="0" borderId="11" xfId="0" applyNumberForma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17" xfId="0" applyBorder="1" applyAlignment="1"/>
    <xf numFmtId="0" fontId="10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169" fontId="14" fillId="0" borderId="31" xfId="0" applyNumberFormat="1" applyFont="1" applyBorder="1" applyAlignment="1">
      <alignment horizontal="center" vertical="center"/>
    </xf>
    <xf numFmtId="169" fontId="14" fillId="0" borderId="3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8" fontId="4" fillId="0" borderId="39" xfId="3" applyNumberFormat="1" applyFont="1" applyBorder="1" applyAlignment="1">
      <alignment horizontal="center"/>
    </xf>
    <xf numFmtId="168" fontId="4" fillId="0" borderId="40" xfId="3" applyNumberFormat="1" applyFont="1" applyBorder="1" applyAlignment="1">
      <alignment horizontal="center"/>
    </xf>
    <xf numFmtId="166" fontId="6" fillId="0" borderId="39" xfId="0" applyNumberFormat="1" applyFont="1" applyBorder="1" applyAlignment="1">
      <alignment horizontal="center"/>
    </xf>
    <xf numFmtId="166" fontId="6" fillId="0" borderId="40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65" fontId="6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/>
    </xf>
    <xf numFmtId="168" fontId="4" fillId="0" borderId="39" xfId="2" applyNumberFormat="1" applyFont="1" applyBorder="1" applyAlignment="1">
      <alignment horizontal="center"/>
    </xf>
    <xf numFmtId="168" fontId="4" fillId="0" borderId="40" xfId="2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7" fontId="6" fillId="0" borderId="41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0" fillId="0" borderId="46" xfId="0" applyBorder="1"/>
    <xf numFmtId="0" fontId="3" fillId="0" borderId="47" xfId="0" applyFont="1" applyBorder="1" applyAlignment="1">
      <alignment horizontal="left" vertical="center"/>
    </xf>
    <xf numFmtId="0" fontId="0" fillId="0" borderId="48" xfId="0" applyBorder="1"/>
    <xf numFmtId="0" fontId="0" fillId="0" borderId="20" xfId="0" applyBorder="1" applyAlignment="1">
      <alignment horizontal="center"/>
    </xf>
    <xf numFmtId="41" fontId="3" fillId="0" borderId="43" xfId="5" applyFont="1" applyBorder="1" applyAlignment="1">
      <alignment horizontal="center" vertical="center"/>
    </xf>
    <xf numFmtId="0" fontId="0" fillId="0" borderId="44" xfId="0" applyBorder="1"/>
    <xf numFmtId="41" fontId="3" fillId="0" borderId="45" xfId="5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</cellXfs>
  <cellStyles count="7">
    <cellStyle name="Migliaia" xfId="2" builtinId="3"/>
    <cellStyle name="Migliaia [0]" xfId="5" builtinId="6"/>
    <cellStyle name="Migliaia [0] 2" xfId="4"/>
    <cellStyle name="Normale" xfId="0" builtinId="0"/>
    <cellStyle name="Normale 2" xfId="6"/>
    <cellStyle name="Percentuale" xfId="3" builtinId="5"/>
    <cellStyle name="Percentu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" name="CasellaDiTesto 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" name="CasellaDiTesto 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" name="CasellaDiTesto 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" name="CasellaDiTesto 1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" name="CasellaDiTesto 1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" name="CasellaDiTesto 1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" name="CasellaDiTesto 1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" name="CasellaDiTesto 1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" name="CasellaDiTesto 1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" name="CasellaDiTesto 2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" name="CasellaDiTesto 2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" name="CasellaDiTesto 2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" name="CasellaDiTesto 2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" name="CasellaDiTesto 2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" name="CasellaDiTesto 2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" name="CasellaDiTesto 2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" name="CasellaDiTesto 2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" name="CasellaDiTesto 3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" name="CasellaDiTesto 3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" name="CasellaDiTesto 3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" name="CasellaDiTesto 3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" name="CasellaDiTesto 3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" name="CasellaDiTesto 3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" name="CasellaDiTesto 3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" name="CasellaDiTesto 3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" name="CasellaDiTesto 3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" name="CasellaDiTesto 3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" name="CasellaDiTesto 4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" name="CasellaDiTesto 4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" name="CasellaDiTesto 4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" name="CasellaDiTesto 4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" name="CasellaDiTesto 4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" name="CasellaDiTesto 4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" name="CasellaDiTesto 4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" name="CasellaDiTesto 4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" name="CasellaDiTesto 4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" name="CasellaDiTesto 4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" name="CasellaDiTesto 5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" name="CasellaDiTesto 5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" name="CasellaDiTesto 5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" name="CasellaDiTesto 5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" name="CasellaDiTesto 5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" name="CasellaDiTesto 5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" name="CasellaDiTesto 5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" name="CasellaDiTesto 5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" name="CasellaDiTesto 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" name="CasellaDiTesto 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" name="CasellaDiTesto 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" name="CasellaDiTesto 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" name="CasellaDiTesto 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" name="CasellaDiTesto 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" name="CasellaDiTesto 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" name="CasellaDiTesto 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" name="CasellaDiTesto 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" name="CasellaDiTesto 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" name="CasellaDiTesto 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" name="CasellaDiTesto 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" name="CasellaDiTesto 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" name="CasellaDiTesto 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" name="CasellaDiTesto 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" name="CasellaDiTesto 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" name="CasellaDiTesto 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" name="CasellaDiTesto 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" name="CasellaDiTesto 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" name="CasellaDiTesto 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" name="CasellaDiTesto 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" name="CasellaDiTesto 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" name="CasellaDiTesto 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" name="CasellaDiTesto 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" name="CasellaDiTesto 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" name="CasellaDiTesto 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" name="CasellaDiTesto 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" name="CasellaDiTesto 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" name="CasellaDiTesto 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" name="CasellaDiTesto 8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" name="CasellaDiTesto 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" name="CasellaDiTesto 8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" name="CasellaDiTesto 9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" name="CasellaDiTesto 9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" name="CasellaDiTesto 9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" name="CasellaDiTesto 9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" name="CasellaDiTesto 9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96" name="CasellaDiTesto 95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" name="CasellaDiTesto 9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" name="CasellaDiTesto 9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" name="CasellaDiTesto 9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" name="CasellaDiTesto 9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" name="CasellaDiTesto 10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" name="CasellaDiTesto 10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" name="CasellaDiTesto 1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" name="CasellaDiTesto 1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" name="CasellaDiTesto 1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" name="CasellaDiTesto 1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" name="CasellaDiTesto 1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" name="CasellaDiTesto 1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" name="CasellaDiTesto 1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" name="CasellaDiTesto 1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" name="CasellaDiTesto 1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" name="CasellaDiTesto 1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" name="CasellaDiTesto 1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" name="CasellaDiTesto 1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" name="CasellaDiTesto 1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" name="CasellaDiTesto 1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" name="CasellaDiTesto 1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" name="CasellaDiTesto 1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9" name="CasellaDiTesto 1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0" name="CasellaDiTesto 1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1" name="CasellaDiTesto 1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2" name="CasellaDiTesto 1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3" name="CasellaDiTesto 1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4" name="CasellaDiTesto 1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5" name="CasellaDiTesto 1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6" name="CasellaDiTesto 1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7" name="CasellaDiTesto 1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8" name="CasellaDiTesto 1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29" name="CasellaDiTesto 1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0" name="CasellaDiTesto 1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1" name="CasellaDiTesto 1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2" name="CasellaDiTesto 1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3" name="CasellaDiTesto 1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4" name="CasellaDiTesto 1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5" name="CasellaDiTesto 1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6" name="CasellaDiTesto 1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7" name="CasellaDiTesto 1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8" name="CasellaDiTesto 1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39" name="CasellaDiTesto 1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0" name="CasellaDiTesto 13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1" name="CasellaDiTesto 1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2" name="CasellaDiTesto 14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3" name="CasellaDiTesto 14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4" name="CasellaDiTesto 14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5" name="CasellaDiTesto 14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6" name="CasellaDiTesto 14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7" name="CasellaDiTesto 14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8" name="CasellaDiTesto 14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49" name="CasellaDiTesto 14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0" name="CasellaDiTesto 14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1" name="CasellaDiTesto 15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2" name="CasellaDiTesto 15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3" name="CasellaDiTesto 15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54" name="CasellaDiTesto 153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5" name="CasellaDiTesto 15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6" name="CasellaDiTesto 15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7" name="CasellaDiTesto 15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8" name="CasellaDiTesto 15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59" name="CasellaDiTesto 15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0" name="CasellaDiTesto 15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1" name="CasellaDiTesto 16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2" name="CasellaDiTesto 16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3" name="CasellaDiTesto 16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4" name="CasellaDiTesto 16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5" name="CasellaDiTesto 16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6" name="CasellaDiTesto 16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7" name="CasellaDiTesto 16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8" name="CasellaDiTesto 16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69" name="CasellaDiTesto 16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0" name="CasellaDiTesto 16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1" name="CasellaDiTesto 17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2" name="CasellaDiTesto 17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3" name="CasellaDiTesto 17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4" name="CasellaDiTesto 17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5" name="CasellaDiTesto 17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6" name="CasellaDiTesto 17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7" name="CasellaDiTesto 17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8" name="CasellaDiTesto 17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79" name="CasellaDiTesto 17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0" name="CasellaDiTesto 17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1" name="CasellaDiTesto 18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2" name="CasellaDiTesto 18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3" name="CasellaDiTesto 18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4" name="CasellaDiTesto 18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5" name="CasellaDiTesto 18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6" name="CasellaDiTesto 18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7" name="CasellaDiTesto 18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8" name="CasellaDiTesto 18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89" name="CasellaDiTesto 18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0" name="CasellaDiTesto 18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1" name="CasellaDiTesto 19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2" name="CasellaDiTesto 19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3" name="CasellaDiTesto 19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4" name="CasellaDiTesto 19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5" name="CasellaDiTesto 19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6" name="CasellaDiTesto 19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7" name="CasellaDiTesto 19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8" name="CasellaDiTesto 19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99" name="CasellaDiTesto 19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0" name="CasellaDiTesto 19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1" name="CasellaDiTesto 20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2" name="CasellaDiTesto 20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3" name="CasellaDiTesto 20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4" name="CasellaDiTesto 20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5" name="CasellaDiTesto 20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6" name="CasellaDiTesto 20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7" name="CasellaDiTesto 2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8" name="CasellaDiTesto 2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09" name="CasellaDiTesto 2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0" name="CasellaDiTesto 2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1" name="CasellaDiTesto 2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2" name="CasellaDiTesto 2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3" name="CasellaDiTesto 2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4" name="CasellaDiTesto 2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5" name="CasellaDiTesto 2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6" name="CasellaDiTesto 2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7" name="CasellaDiTesto 2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8" name="CasellaDiTesto 2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19" name="CasellaDiTesto 2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0" name="CasellaDiTesto 2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1" name="CasellaDiTesto 2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2" name="CasellaDiTesto 2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3" name="CasellaDiTesto 2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4" name="CasellaDiTesto 2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5" name="CasellaDiTesto 2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6" name="CasellaDiTesto 2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7" name="CasellaDiTesto 2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8" name="CasellaDiTesto 2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29" name="CasellaDiTesto 2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0" name="CasellaDiTesto 2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1" name="CasellaDiTesto 2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2" name="CasellaDiTesto 2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3" name="CasellaDiTesto 2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4" name="CasellaDiTesto 2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5" name="CasellaDiTesto 2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6" name="CasellaDiTesto 2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7" name="CasellaDiTesto 2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8" name="CasellaDiTesto 2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39" name="CasellaDiTesto 2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0" name="CasellaDiTesto 23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1" name="CasellaDiTesto 2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2" name="CasellaDiTesto 24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3" name="CasellaDiTesto 24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244" name="CasellaDiTesto 243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5" name="CasellaDiTesto 24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6" name="CasellaDiTesto 24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7" name="CasellaDiTesto 24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8" name="CasellaDiTesto 24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49" name="CasellaDiTesto 24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0" name="CasellaDiTesto 24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1" name="CasellaDiTesto 25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2" name="CasellaDiTesto 25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3" name="CasellaDiTesto 25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4" name="CasellaDiTesto 25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5" name="CasellaDiTesto 2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6" name="CasellaDiTesto 2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7" name="CasellaDiTesto 2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8" name="CasellaDiTesto 2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59" name="CasellaDiTesto 2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0" name="CasellaDiTesto 2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1" name="CasellaDiTesto 2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2" name="CasellaDiTesto 2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3" name="CasellaDiTesto 2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4" name="CasellaDiTesto 2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5" name="CasellaDiTesto 2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6" name="CasellaDiTesto 2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7" name="CasellaDiTesto 2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8" name="CasellaDiTesto 2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69" name="CasellaDiTesto 2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0" name="CasellaDiTesto 2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1" name="CasellaDiTesto 2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2" name="CasellaDiTesto 2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3" name="CasellaDiTesto 2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4" name="CasellaDiTesto 2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5" name="CasellaDiTesto 2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6" name="CasellaDiTesto 2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7" name="CasellaDiTesto 2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8" name="CasellaDiTesto 2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79" name="CasellaDiTesto 2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0" name="CasellaDiTesto 2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1" name="CasellaDiTesto 2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2" name="CasellaDiTesto 2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3" name="CasellaDiTesto 2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4" name="CasellaDiTesto 2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5" name="CasellaDiTesto 2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6" name="CasellaDiTesto 2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7" name="CasellaDiTesto 2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8" name="CasellaDiTesto 28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89" name="CasellaDiTesto 2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0" name="CasellaDiTesto 28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1" name="CasellaDiTesto 29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2" name="CasellaDiTesto 29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3" name="CasellaDiTesto 29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4" name="CasellaDiTesto 29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5" name="CasellaDiTesto 29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6" name="CasellaDiTesto 29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7" name="CasellaDiTesto 29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8" name="CasellaDiTesto 29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299" name="CasellaDiTesto 29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0" name="CasellaDiTesto 29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1" name="CasellaDiTesto 30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302" name="CasellaDiTesto 301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3" name="CasellaDiTesto 30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4" name="CasellaDiTesto 30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5" name="CasellaDiTesto 30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6" name="CasellaDiTesto 30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7" name="CasellaDiTesto 30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8" name="CasellaDiTesto 30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09" name="CasellaDiTesto 30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0" name="CasellaDiTesto 30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1" name="CasellaDiTesto 31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2" name="CasellaDiTesto 31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3" name="CasellaDiTesto 31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4" name="CasellaDiTesto 31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5" name="CasellaDiTesto 31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6" name="CasellaDiTesto 31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7" name="CasellaDiTesto 31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8" name="CasellaDiTesto 31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19" name="CasellaDiTesto 31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0" name="CasellaDiTesto 31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1" name="CasellaDiTesto 32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2" name="CasellaDiTesto 32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3" name="CasellaDiTesto 32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4" name="CasellaDiTesto 32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5" name="CasellaDiTesto 32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6" name="CasellaDiTesto 32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7" name="CasellaDiTesto 32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8" name="CasellaDiTesto 32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29" name="CasellaDiTesto 32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0" name="CasellaDiTesto 32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1" name="CasellaDiTesto 33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2" name="CasellaDiTesto 33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3" name="CasellaDiTesto 33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4" name="CasellaDiTesto 33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5" name="CasellaDiTesto 33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6" name="CasellaDiTesto 33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7" name="CasellaDiTesto 33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8" name="CasellaDiTesto 33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39" name="CasellaDiTesto 33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0" name="CasellaDiTesto 33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1" name="CasellaDiTesto 34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2" name="CasellaDiTesto 34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3" name="CasellaDiTesto 34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4" name="CasellaDiTesto 34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5" name="CasellaDiTesto 34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6" name="CasellaDiTesto 34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7" name="CasellaDiTesto 34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8" name="CasellaDiTesto 34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49" name="CasellaDiTesto 34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0" name="CasellaDiTesto 34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1" name="CasellaDiTesto 35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2" name="CasellaDiTesto 35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3" name="CasellaDiTesto 35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4" name="CasellaDiTesto 35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5" name="CasellaDiTesto 3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6" name="CasellaDiTesto 3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7" name="CasellaDiTesto 3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8" name="CasellaDiTesto 3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59" name="CasellaDiTesto 3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0" name="CasellaDiTesto 3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1" name="CasellaDiTesto 3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2" name="CasellaDiTesto 3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3" name="CasellaDiTesto 3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4" name="CasellaDiTesto 3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5" name="CasellaDiTesto 3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6" name="CasellaDiTesto 3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7" name="CasellaDiTesto 3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8" name="CasellaDiTesto 3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69" name="CasellaDiTesto 3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0" name="CasellaDiTesto 3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1" name="CasellaDiTesto 3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2" name="CasellaDiTesto 3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3" name="CasellaDiTesto 3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4" name="CasellaDiTesto 3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5" name="CasellaDiTesto 3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6" name="CasellaDiTesto 3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7" name="CasellaDiTesto 3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8" name="CasellaDiTesto 3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79" name="CasellaDiTesto 3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0" name="CasellaDiTesto 3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1" name="CasellaDiTesto 3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2" name="CasellaDiTesto 3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3" name="CasellaDiTesto 3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4" name="CasellaDiTesto 3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5" name="CasellaDiTesto 3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6" name="CasellaDiTesto 3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7" name="CasellaDiTesto 3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8" name="CasellaDiTesto 38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89" name="CasellaDiTesto 3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0" name="CasellaDiTesto 38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1" name="CasellaDiTesto 39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392" name="CasellaDiTesto 391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3" name="CasellaDiTesto 39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4" name="CasellaDiTesto 39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5" name="CasellaDiTesto 39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6" name="CasellaDiTesto 39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7" name="CasellaDiTesto 39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8" name="CasellaDiTesto 39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399" name="CasellaDiTesto 39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0" name="CasellaDiTesto 39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1" name="CasellaDiTesto 40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2" name="CasellaDiTesto 40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3" name="CasellaDiTesto 4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4" name="CasellaDiTesto 4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5" name="CasellaDiTesto 4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6" name="CasellaDiTesto 4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7" name="CasellaDiTesto 4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8" name="CasellaDiTesto 4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09" name="CasellaDiTesto 4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0" name="CasellaDiTesto 4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1" name="CasellaDiTesto 4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2" name="CasellaDiTesto 4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3" name="CasellaDiTesto 4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4" name="CasellaDiTesto 4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5" name="CasellaDiTesto 4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6" name="CasellaDiTesto 4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7" name="CasellaDiTesto 4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8" name="CasellaDiTesto 4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19" name="CasellaDiTesto 4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0" name="CasellaDiTesto 4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1" name="CasellaDiTesto 4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2" name="CasellaDiTesto 4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3" name="CasellaDiTesto 4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4" name="CasellaDiTesto 4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5" name="CasellaDiTesto 4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6" name="CasellaDiTesto 4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7" name="CasellaDiTesto 4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8" name="CasellaDiTesto 4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29" name="CasellaDiTesto 4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0" name="CasellaDiTesto 4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1" name="CasellaDiTesto 4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2" name="CasellaDiTesto 4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3" name="CasellaDiTesto 4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4" name="CasellaDiTesto 4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5" name="CasellaDiTesto 4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6" name="CasellaDiTesto 4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7" name="CasellaDiTesto 4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8" name="CasellaDiTesto 4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39" name="CasellaDiTesto 4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0" name="CasellaDiTesto 43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1" name="CasellaDiTesto 4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2" name="CasellaDiTesto 44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3" name="CasellaDiTesto 44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4" name="CasellaDiTesto 44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5" name="CasellaDiTesto 44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6" name="CasellaDiTesto 44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7" name="CasellaDiTesto 44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8" name="CasellaDiTesto 44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49" name="CasellaDiTesto 44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450" name="CasellaDiTesto 449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1" name="CasellaDiTesto 45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2" name="CasellaDiTesto 45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3" name="CasellaDiTesto 45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4" name="CasellaDiTesto 45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5" name="CasellaDiTesto 45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6" name="CasellaDiTesto 45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7" name="CasellaDiTesto 45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8" name="CasellaDiTesto 45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59" name="CasellaDiTesto 45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0" name="CasellaDiTesto 45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1" name="CasellaDiTesto 46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2" name="CasellaDiTesto 46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3" name="CasellaDiTesto 46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4" name="CasellaDiTesto 46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5" name="CasellaDiTesto 46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6" name="CasellaDiTesto 46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7" name="CasellaDiTesto 46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8" name="CasellaDiTesto 46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69" name="CasellaDiTesto 46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0" name="CasellaDiTesto 46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1" name="CasellaDiTesto 47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2" name="CasellaDiTesto 47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3" name="CasellaDiTesto 47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4" name="CasellaDiTesto 47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5" name="CasellaDiTesto 47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6" name="CasellaDiTesto 47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7" name="CasellaDiTesto 47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8" name="CasellaDiTesto 47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79" name="CasellaDiTesto 47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0" name="CasellaDiTesto 47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1" name="CasellaDiTesto 48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2" name="CasellaDiTesto 48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3" name="CasellaDiTesto 48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4" name="CasellaDiTesto 48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5" name="CasellaDiTesto 48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6" name="CasellaDiTesto 48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7" name="CasellaDiTesto 48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8" name="CasellaDiTesto 48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89" name="CasellaDiTesto 48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0" name="CasellaDiTesto 48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1" name="CasellaDiTesto 49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2" name="CasellaDiTesto 49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3" name="CasellaDiTesto 49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4" name="CasellaDiTesto 49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5" name="CasellaDiTesto 49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6" name="CasellaDiTesto 49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7" name="CasellaDiTesto 49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8" name="CasellaDiTesto 49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499" name="CasellaDiTesto 49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0" name="CasellaDiTesto 49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1" name="CasellaDiTesto 50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2" name="CasellaDiTesto 50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3" name="CasellaDiTesto 5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4" name="CasellaDiTesto 5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5" name="CasellaDiTesto 5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6" name="CasellaDiTesto 5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7" name="CasellaDiTesto 5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8" name="CasellaDiTesto 5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09" name="CasellaDiTesto 5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0" name="CasellaDiTesto 5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1" name="CasellaDiTesto 5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2" name="CasellaDiTesto 5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3" name="CasellaDiTesto 5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4" name="CasellaDiTesto 5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5" name="CasellaDiTesto 5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6" name="CasellaDiTesto 5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7" name="CasellaDiTesto 5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8" name="CasellaDiTesto 5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19" name="CasellaDiTesto 5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0" name="CasellaDiTesto 5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1" name="CasellaDiTesto 5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2" name="CasellaDiTesto 5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3" name="CasellaDiTesto 5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4" name="CasellaDiTesto 5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5" name="CasellaDiTesto 5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6" name="CasellaDiTesto 5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7" name="CasellaDiTesto 5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8" name="CasellaDiTesto 5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29" name="CasellaDiTesto 5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0" name="CasellaDiTesto 5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1" name="CasellaDiTesto 5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2" name="CasellaDiTesto 5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3" name="CasellaDiTesto 5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4" name="CasellaDiTesto 5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5" name="CasellaDiTesto 5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6" name="CasellaDiTesto 5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7" name="CasellaDiTesto 5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8" name="CasellaDiTesto 5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39" name="CasellaDiTesto 5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540" name="CasellaDiTesto 539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1" name="CasellaDiTesto 5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2" name="CasellaDiTesto 54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3" name="CasellaDiTesto 54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4" name="CasellaDiTesto 54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5" name="CasellaDiTesto 54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6" name="CasellaDiTesto 54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7" name="CasellaDiTesto 54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8" name="CasellaDiTesto 54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49" name="CasellaDiTesto 54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0" name="CasellaDiTesto 54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1" name="CasellaDiTesto 55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2" name="CasellaDiTesto 55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3" name="CasellaDiTesto 55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4" name="CasellaDiTesto 55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5" name="CasellaDiTesto 5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6" name="CasellaDiTesto 5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7" name="CasellaDiTesto 5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8" name="CasellaDiTesto 5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59" name="CasellaDiTesto 5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0" name="CasellaDiTesto 5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1" name="CasellaDiTesto 5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2" name="CasellaDiTesto 5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3" name="CasellaDiTesto 5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4" name="CasellaDiTesto 5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5" name="CasellaDiTesto 5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6" name="CasellaDiTesto 5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7" name="CasellaDiTesto 5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8" name="CasellaDiTesto 5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69" name="CasellaDiTesto 5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0" name="CasellaDiTesto 5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1" name="CasellaDiTesto 5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2" name="CasellaDiTesto 5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3" name="CasellaDiTesto 5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4" name="CasellaDiTesto 5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5" name="CasellaDiTesto 5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6" name="CasellaDiTesto 5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7" name="CasellaDiTesto 5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8" name="CasellaDiTesto 5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79" name="CasellaDiTesto 5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0" name="CasellaDiTesto 5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1" name="CasellaDiTesto 5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2" name="CasellaDiTesto 5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3" name="CasellaDiTesto 5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4" name="CasellaDiTesto 5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5" name="CasellaDiTesto 5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6" name="CasellaDiTesto 5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7" name="CasellaDiTesto 5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8" name="CasellaDiTesto 58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89" name="CasellaDiTesto 5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0" name="CasellaDiTesto 58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1" name="CasellaDiTesto 59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2" name="CasellaDiTesto 59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3" name="CasellaDiTesto 59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4" name="CasellaDiTesto 59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5" name="CasellaDiTesto 59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6" name="CasellaDiTesto 59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7" name="CasellaDiTesto 59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598" name="CasellaDiTesto 597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599" name="CasellaDiTesto 59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0" name="CasellaDiTesto 59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1" name="CasellaDiTesto 60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2" name="CasellaDiTesto 60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3" name="CasellaDiTesto 60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4" name="CasellaDiTesto 60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5" name="CasellaDiTesto 60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6" name="CasellaDiTesto 60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7" name="CasellaDiTesto 60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8" name="CasellaDiTesto 60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09" name="CasellaDiTesto 60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0" name="CasellaDiTesto 60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1" name="CasellaDiTesto 61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2" name="CasellaDiTesto 61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3" name="CasellaDiTesto 61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4" name="CasellaDiTesto 61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5" name="CasellaDiTesto 61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6" name="CasellaDiTesto 61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7" name="CasellaDiTesto 61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8" name="CasellaDiTesto 61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19" name="CasellaDiTesto 61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0" name="CasellaDiTesto 61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1" name="CasellaDiTesto 62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2" name="CasellaDiTesto 62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3" name="CasellaDiTesto 62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4" name="CasellaDiTesto 62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5" name="CasellaDiTesto 62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6" name="CasellaDiTesto 62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7" name="CasellaDiTesto 62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8" name="CasellaDiTesto 62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29" name="CasellaDiTesto 62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0" name="CasellaDiTesto 62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1" name="CasellaDiTesto 63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2" name="CasellaDiTesto 63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3" name="CasellaDiTesto 63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4" name="CasellaDiTesto 63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5" name="CasellaDiTesto 63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6" name="CasellaDiTesto 63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7" name="CasellaDiTesto 63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8" name="CasellaDiTesto 63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39" name="CasellaDiTesto 63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0" name="CasellaDiTesto 63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1" name="CasellaDiTesto 64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2" name="CasellaDiTesto 64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3" name="CasellaDiTesto 64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4" name="CasellaDiTesto 64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5" name="CasellaDiTesto 64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6" name="CasellaDiTesto 64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7" name="CasellaDiTesto 64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8" name="CasellaDiTesto 64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49" name="CasellaDiTesto 64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0" name="CasellaDiTesto 64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1" name="CasellaDiTesto 65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2" name="CasellaDiTesto 65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3" name="CasellaDiTesto 65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4" name="CasellaDiTesto 65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5" name="CasellaDiTesto 6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6" name="CasellaDiTesto 6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7" name="CasellaDiTesto 6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8" name="CasellaDiTesto 6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59" name="CasellaDiTesto 6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0" name="CasellaDiTesto 6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1" name="CasellaDiTesto 6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2" name="CasellaDiTesto 6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3" name="CasellaDiTesto 6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4" name="CasellaDiTesto 6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5" name="CasellaDiTesto 6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6" name="CasellaDiTesto 6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7" name="CasellaDiTesto 6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8" name="CasellaDiTesto 6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69" name="CasellaDiTesto 6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0" name="CasellaDiTesto 6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1" name="CasellaDiTesto 6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2" name="CasellaDiTesto 6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3" name="CasellaDiTesto 6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4" name="CasellaDiTesto 6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5" name="CasellaDiTesto 6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6" name="CasellaDiTesto 6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7" name="CasellaDiTesto 6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8" name="CasellaDiTesto 6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79" name="CasellaDiTesto 6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0" name="CasellaDiTesto 6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1" name="CasellaDiTesto 6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2" name="CasellaDiTesto 6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3" name="CasellaDiTesto 6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4" name="CasellaDiTesto 6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5" name="CasellaDiTesto 6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6" name="CasellaDiTesto 6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7" name="CasellaDiTesto 6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688" name="CasellaDiTesto 687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89" name="CasellaDiTesto 6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0" name="CasellaDiTesto 68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1" name="CasellaDiTesto 69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2" name="CasellaDiTesto 69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3" name="CasellaDiTesto 69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4" name="CasellaDiTesto 69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5" name="CasellaDiTesto 69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6" name="CasellaDiTesto 69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7" name="CasellaDiTesto 69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8" name="CasellaDiTesto 69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699" name="CasellaDiTesto 69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0" name="CasellaDiTesto 69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1" name="CasellaDiTesto 70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2" name="CasellaDiTesto 70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3" name="CasellaDiTesto 7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4" name="CasellaDiTesto 7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5" name="CasellaDiTesto 7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6" name="CasellaDiTesto 7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7" name="CasellaDiTesto 7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8" name="CasellaDiTesto 7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09" name="CasellaDiTesto 7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0" name="CasellaDiTesto 7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1" name="CasellaDiTesto 7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2" name="CasellaDiTesto 7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3" name="CasellaDiTesto 7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4" name="CasellaDiTesto 7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5" name="CasellaDiTesto 7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6" name="CasellaDiTesto 7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7" name="CasellaDiTesto 7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8" name="CasellaDiTesto 7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19" name="CasellaDiTesto 7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0" name="CasellaDiTesto 7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1" name="CasellaDiTesto 7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2" name="CasellaDiTesto 7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3" name="CasellaDiTesto 7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4" name="CasellaDiTesto 7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5" name="CasellaDiTesto 7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6" name="CasellaDiTesto 7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7" name="CasellaDiTesto 7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8" name="CasellaDiTesto 7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29" name="CasellaDiTesto 7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0" name="CasellaDiTesto 7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1" name="CasellaDiTesto 7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2" name="CasellaDiTesto 7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3" name="CasellaDiTesto 7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4" name="CasellaDiTesto 7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5" name="CasellaDiTesto 7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6" name="CasellaDiTesto 7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7" name="CasellaDiTesto 7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8" name="CasellaDiTesto 7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39" name="CasellaDiTesto 7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0" name="CasellaDiTesto 73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1" name="CasellaDiTesto 7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2" name="CasellaDiTesto 74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3" name="CasellaDiTesto 74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4" name="CasellaDiTesto 74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5" name="CasellaDiTesto 74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746" name="CasellaDiTesto 745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7" name="CasellaDiTesto 74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8" name="CasellaDiTesto 74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49" name="CasellaDiTesto 74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0" name="CasellaDiTesto 74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1" name="CasellaDiTesto 75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2" name="CasellaDiTesto 75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3" name="CasellaDiTesto 75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4" name="CasellaDiTesto 75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5" name="CasellaDiTesto 75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6" name="CasellaDiTesto 75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7" name="CasellaDiTesto 75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8" name="CasellaDiTesto 75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59" name="CasellaDiTesto 75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0" name="CasellaDiTesto 75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1" name="CasellaDiTesto 76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2" name="CasellaDiTesto 76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3" name="CasellaDiTesto 76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4" name="CasellaDiTesto 76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5" name="CasellaDiTesto 76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6" name="CasellaDiTesto 76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7" name="CasellaDiTesto 76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8" name="CasellaDiTesto 76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69" name="CasellaDiTesto 76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0" name="CasellaDiTesto 76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1" name="CasellaDiTesto 77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2" name="CasellaDiTesto 77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3" name="CasellaDiTesto 77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4" name="CasellaDiTesto 77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5" name="CasellaDiTesto 77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6" name="CasellaDiTesto 77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7" name="CasellaDiTesto 77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8" name="CasellaDiTesto 77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79" name="CasellaDiTesto 77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0" name="CasellaDiTesto 77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1" name="CasellaDiTesto 78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2" name="CasellaDiTesto 78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3" name="CasellaDiTesto 78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4" name="CasellaDiTesto 78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5" name="CasellaDiTesto 78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6" name="CasellaDiTesto 78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7" name="CasellaDiTesto 78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8" name="CasellaDiTesto 78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89" name="CasellaDiTesto 78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0" name="CasellaDiTesto 78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1" name="CasellaDiTesto 79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2" name="CasellaDiTesto 79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3" name="CasellaDiTesto 79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4" name="CasellaDiTesto 79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5" name="CasellaDiTesto 79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6" name="CasellaDiTesto 79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7" name="CasellaDiTesto 79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8" name="CasellaDiTesto 79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799" name="CasellaDiTesto 79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0" name="CasellaDiTesto 79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1" name="CasellaDiTesto 80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2" name="CasellaDiTesto 80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3" name="CasellaDiTesto 8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4" name="CasellaDiTesto 8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5" name="CasellaDiTesto 8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6" name="CasellaDiTesto 8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7" name="CasellaDiTesto 8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8" name="CasellaDiTesto 8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09" name="CasellaDiTesto 8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0" name="CasellaDiTesto 8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1" name="CasellaDiTesto 8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2" name="CasellaDiTesto 8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3" name="CasellaDiTesto 8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4" name="CasellaDiTesto 8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5" name="CasellaDiTesto 8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6" name="CasellaDiTesto 8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7" name="CasellaDiTesto 8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8" name="CasellaDiTesto 8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19" name="CasellaDiTesto 8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0" name="CasellaDiTesto 8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1" name="CasellaDiTesto 8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2" name="CasellaDiTesto 8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3" name="CasellaDiTesto 8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4" name="CasellaDiTesto 8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5" name="CasellaDiTesto 8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6" name="CasellaDiTesto 8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7" name="CasellaDiTesto 8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8" name="CasellaDiTesto 8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29" name="CasellaDiTesto 8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0" name="CasellaDiTesto 8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1" name="CasellaDiTesto 8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2" name="CasellaDiTesto 8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3" name="CasellaDiTesto 8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4" name="CasellaDiTesto 8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5" name="CasellaDiTesto 8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836" name="CasellaDiTesto 835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7" name="CasellaDiTesto 8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8" name="CasellaDiTesto 8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39" name="CasellaDiTesto 8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0" name="CasellaDiTesto 83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1" name="CasellaDiTesto 8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2" name="CasellaDiTesto 84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3" name="CasellaDiTesto 84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4" name="CasellaDiTesto 84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5" name="CasellaDiTesto 84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6" name="CasellaDiTesto 84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7" name="CasellaDiTesto 84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8" name="CasellaDiTesto 84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49" name="CasellaDiTesto 84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0" name="CasellaDiTesto 84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1" name="CasellaDiTesto 85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2" name="CasellaDiTesto 85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3" name="CasellaDiTesto 85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4" name="CasellaDiTesto 85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5" name="CasellaDiTesto 8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6" name="CasellaDiTesto 8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7" name="CasellaDiTesto 8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8" name="CasellaDiTesto 8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59" name="CasellaDiTesto 8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0" name="CasellaDiTesto 8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1" name="CasellaDiTesto 8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2" name="CasellaDiTesto 8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3" name="CasellaDiTesto 8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4" name="CasellaDiTesto 8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5" name="CasellaDiTesto 8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6" name="CasellaDiTesto 8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7" name="CasellaDiTesto 8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8" name="CasellaDiTesto 8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69" name="CasellaDiTesto 8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0" name="CasellaDiTesto 8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1" name="CasellaDiTesto 8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2" name="CasellaDiTesto 8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3" name="CasellaDiTesto 8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4" name="CasellaDiTesto 8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5" name="CasellaDiTesto 8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6" name="CasellaDiTesto 8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7" name="CasellaDiTesto 8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8" name="CasellaDiTesto 8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79" name="CasellaDiTesto 8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0" name="CasellaDiTesto 8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1" name="CasellaDiTesto 8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2" name="CasellaDiTesto 8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3" name="CasellaDiTesto 8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4" name="CasellaDiTesto 8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5" name="CasellaDiTesto 8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6" name="CasellaDiTesto 8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7" name="CasellaDiTesto 8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8" name="CasellaDiTesto 88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89" name="CasellaDiTesto 8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0" name="CasellaDiTesto 88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1" name="CasellaDiTesto 89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2" name="CasellaDiTesto 89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3" name="CasellaDiTesto 89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894" name="CasellaDiTesto 893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5" name="CasellaDiTesto 89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6" name="CasellaDiTesto 89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7" name="CasellaDiTesto 89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8" name="CasellaDiTesto 89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899" name="CasellaDiTesto 89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0" name="CasellaDiTesto 89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1" name="CasellaDiTesto 90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2" name="CasellaDiTesto 90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3" name="CasellaDiTesto 90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4" name="CasellaDiTesto 90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5" name="CasellaDiTesto 90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6" name="CasellaDiTesto 90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7" name="CasellaDiTesto 90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8" name="CasellaDiTesto 90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09" name="CasellaDiTesto 90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0" name="CasellaDiTesto 90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1" name="CasellaDiTesto 91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2" name="CasellaDiTesto 91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3" name="CasellaDiTesto 91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4" name="CasellaDiTesto 91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5" name="CasellaDiTesto 91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6" name="CasellaDiTesto 91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7" name="CasellaDiTesto 91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8" name="CasellaDiTesto 91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19" name="CasellaDiTesto 91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0" name="CasellaDiTesto 91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1" name="CasellaDiTesto 92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2" name="CasellaDiTesto 92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3" name="CasellaDiTesto 92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4" name="CasellaDiTesto 92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5" name="CasellaDiTesto 92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6" name="CasellaDiTesto 92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7" name="CasellaDiTesto 92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8" name="CasellaDiTesto 92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29" name="CasellaDiTesto 92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0" name="CasellaDiTesto 92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1" name="CasellaDiTesto 93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2" name="CasellaDiTesto 93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3" name="CasellaDiTesto 93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4" name="CasellaDiTesto 93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5" name="CasellaDiTesto 93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6" name="CasellaDiTesto 93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7" name="CasellaDiTesto 93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8" name="CasellaDiTesto 93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39" name="CasellaDiTesto 93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0" name="CasellaDiTesto 93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1" name="CasellaDiTesto 94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2" name="CasellaDiTesto 94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3" name="CasellaDiTesto 94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4" name="CasellaDiTesto 94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5" name="CasellaDiTesto 94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6" name="CasellaDiTesto 94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7" name="CasellaDiTesto 94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8" name="CasellaDiTesto 94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49" name="CasellaDiTesto 94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0" name="CasellaDiTesto 94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1" name="CasellaDiTesto 95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2" name="CasellaDiTesto 95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3" name="CasellaDiTesto 95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4" name="CasellaDiTesto 95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5" name="CasellaDiTesto 9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6" name="CasellaDiTesto 9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7" name="CasellaDiTesto 9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8" name="CasellaDiTesto 9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59" name="CasellaDiTesto 9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0" name="CasellaDiTesto 9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1" name="CasellaDiTesto 9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2" name="CasellaDiTesto 9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3" name="CasellaDiTesto 9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4" name="CasellaDiTesto 9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5" name="CasellaDiTesto 9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6" name="CasellaDiTesto 9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7" name="CasellaDiTesto 9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8" name="CasellaDiTesto 9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69" name="CasellaDiTesto 9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0" name="CasellaDiTesto 9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1" name="CasellaDiTesto 9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2" name="CasellaDiTesto 9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3" name="CasellaDiTesto 9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4" name="CasellaDiTesto 9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5" name="CasellaDiTesto 9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6" name="CasellaDiTesto 9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7" name="CasellaDiTesto 9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8" name="CasellaDiTesto 9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79" name="CasellaDiTesto 9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0" name="CasellaDiTesto 9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1" name="CasellaDiTesto 9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2" name="CasellaDiTesto 9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3" name="CasellaDiTesto 9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984" name="CasellaDiTesto 983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5" name="CasellaDiTesto 9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6" name="CasellaDiTesto 98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7" name="CasellaDiTesto 98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8" name="CasellaDiTesto 98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89" name="CasellaDiTesto 98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0" name="CasellaDiTesto 98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1" name="CasellaDiTesto 99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2" name="CasellaDiTesto 99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3" name="CasellaDiTesto 99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4" name="CasellaDiTesto 99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5" name="CasellaDiTesto 99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6" name="CasellaDiTesto 99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7" name="CasellaDiTesto 99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8" name="CasellaDiTesto 99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999" name="CasellaDiTesto 99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0" name="CasellaDiTesto 99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1" name="CasellaDiTesto 100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2" name="CasellaDiTesto 100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3" name="CasellaDiTesto 10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4" name="CasellaDiTesto 10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5" name="CasellaDiTesto 10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6" name="CasellaDiTesto 10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7" name="CasellaDiTesto 10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8" name="CasellaDiTesto 10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09" name="CasellaDiTesto 10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0" name="CasellaDiTesto 10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1" name="CasellaDiTesto 10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2" name="CasellaDiTesto 10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3" name="CasellaDiTesto 10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4" name="CasellaDiTesto 10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5" name="CasellaDiTesto 10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6" name="CasellaDiTesto 10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7" name="CasellaDiTesto 10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8" name="CasellaDiTesto 10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19" name="CasellaDiTesto 10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0" name="CasellaDiTesto 10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1" name="CasellaDiTesto 10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2" name="CasellaDiTesto 10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3" name="CasellaDiTesto 10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4" name="CasellaDiTesto 10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5" name="CasellaDiTesto 10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6" name="CasellaDiTesto 10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7" name="CasellaDiTesto 10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8" name="CasellaDiTesto 10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29" name="CasellaDiTesto 10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0" name="CasellaDiTesto 10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1" name="CasellaDiTesto 10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2" name="CasellaDiTesto 103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3" name="CasellaDiTesto 10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4" name="CasellaDiTesto 10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5" name="CasellaDiTesto 10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6" name="CasellaDiTesto 10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7" name="CasellaDiTesto 10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8" name="CasellaDiTesto 103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39" name="CasellaDiTesto 103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0" name="CasellaDiTesto 103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1" name="CasellaDiTesto 104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042" name="CasellaDiTesto 1041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3" name="CasellaDiTesto 104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4" name="CasellaDiTesto 104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5" name="CasellaDiTesto 104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6" name="CasellaDiTesto 104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7" name="CasellaDiTesto 104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8" name="CasellaDiTesto 104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49" name="CasellaDiTesto 104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0" name="CasellaDiTesto 104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1" name="CasellaDiTesto 105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2" name="CasellaDiTesto 105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3" name="CasellaDiTesto 105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4" name="CasellaDiTesto 105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5" name="CasellaDiTesto 105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6" name="CasellaDiTesto 105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7" name="CasellaDiTesto 105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8" name="CasellaDiTesto 105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59" name="CasellaDiTesto 105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0" name="CasellaDiTesto 105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1" name="CasellaDiTesto 106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2" name="CasellaDiTesto 106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3" name="CasellaDiTesto 106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4" name="CasellaDiTesto 106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5" name="CasellaDiTesto 106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6" name="CasellaDiTesto 106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7" name="CasellaDiTesto 106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8" name="CasellaDiTesto 106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69" name="CasellaDiTesto 106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0" name="CasellaDiTesto 106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1" name="CasellaDiTesto 107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2" name="CasellaDiTesto 107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3" name="CasellaDiTesto 107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4" name="CasellaDiTesto 107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5" name="CasellaDiTesto 107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6" name="CasellaDiTesto 107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7" name="CasellaDiTesto 107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8" name="CasellaDiTesto 107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79" name="CasellaDiTesto 107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0" name="CasellaDiTesto 107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1" name="CasellaDiTesto 108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2" name="CasellaDiTesto 108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3" name="CasellaDiTesto 108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4" name="CasellaDiTesto 108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5" name="CasellaDiTesto 1084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6" name="CasellaDiTesto 1085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7" name="CasellaDiTesto 1086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8" name="CasellaDiTesto 1087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89" name="CasellaDiTesto 1088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0" name="CasellaDiTesto 1089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1" name="CasellaDiTesto 1090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2" name="CasellaDiTesto 1091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3" name="CasellaDiTesto 1092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4" name="CasellaDiTesto 1093"/>
        <xdr:cNvSpPr txBox="1"/>
      </xdr:nvSpPr>
      <xdr:spPr>
        <a:xfrm>
          <a:off x="27051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5" name="CasellaDiTesto 109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6" name="CasellaDiTesto 109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7" name="CasellaDiTesto 109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8" name="CasellaDiTesto 109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099" name="CasellaDiTesto 109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0" name="CasellaDiTesto 109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1" name="CasellaDiTesto 110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2" name="CasellaDiTesto 110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3" name="CasellaDiTesto 110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4" name="CasellaDiTesto 110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5" name="CasellaDiTesto 110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6" name="CasellaDiTesto 110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7" name="CasellaDiTesto 110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8" name="CasellaDiTesto 110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09" name="CasellaDiTesto 110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0" name="CasellaDiTesto 110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1" name="CasellaDiTesto 111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2" name="CasellaDiTesto 111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3" name="CasellaDiTesto 111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4" name="CasellaDiTesto 111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5" name="CasellaDiTesto 111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6" name="CasellaDiTesto 111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7" name="CasellaDiTesto 111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8" name="CasellaDiTesto 111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19" name="CasellaDiTesto 111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0" name="CasellaDiTesto 111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1" name="CasellaDiTesto 112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2" name="CasellaDiTesto 112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3" name="CasellaDiTesto 112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4" name="CasellaDiTesto 112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5" name="CasellaDiTesto 112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6" name="CasellaDiTesto 112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7" name="CasellaDiTesto 112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8" name="CasellaDiTesto 112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29" name="CasellaDiTesto 112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0" name="CasellaDiTesto 112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1" name="CasellaDiTesto 113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132" name="CasellaDiTesto 1131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3" name="CasellaDiTesto 113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4" name="CasellaDiTesto 113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5" name="CasellaDiTesto 113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6" name="CasellaDiTesto 113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7" name="CasellaDiTesto 113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8" name="CasellaDiTesto 113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39" name="CasellaDiTesto 113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0" name="CasellaDiTesto 113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1" name="CasellaDiTesto 114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2" name="CasellaDiTesto 114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3" name="CasellaDiTesto 114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4" name="CasellaDiTesto 114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5" name="CasellaDiTesto 114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6" name="CasellaDiTesto 114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7" name="CasellaDiTesto 114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8" name="CasellaDiTesto 114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49" name="CasellaDiTesto 114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0" name="CasellaDiTesto 114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1" name="CasellaDiTesto 115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2" name="CasellaDiTesto 115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3" name="CasellaDiTesto 115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4" name="CasellaDiTesto 115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5" name="CasellaDiTesto 115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6" name="CasellaDiTesto 115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7" name="CasellaDiTesto 115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8" name="CasellaDiTesto 115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59" name="CasellaDiTesto 115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0" name="CasellaDiTesto 115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1" name="CasellaDiTesto 116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2" name="CasellaDiTesto 116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3" name="CasellaDiTesto 116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4" name="CasellaDiTesto 116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5" name="CasellaDiTesto 116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6" name="CasellaDiTesto 116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7" name="CasellaDiTesto 116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8" name="CasellaDiTesto 116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69" name="CasellaDiTesto 116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0" name="CasellaDiTesto 116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1" name="CasellaDiTesto 117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2" name="CasellaDiTesto 117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3" name="CasellaDiTesto 117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4" name="CasellaDiTesto 117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5" name="CasellaDiTesto 117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6" name="CasellaDiTesto 1175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7" name="CasellaDiTesto 1176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8" name="CasellaDiTesto 1177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79" name="CasellaDiTesto 1178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0" name="CasellaDiTesto 1179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1" name="CasellaDiTesto 1180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2" name="CasellaDiTesto 1181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3" name="CasellaDiTesto 1182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4" name="CasellaDiTesto 1183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184731" cy="264560"/>
    <xdr:sp macro="" textlink="">
      <xdr:nvSpPr>
        <xdr:cNvPr id="1185" name="CasellaDiTesto 1184"/>
        <xdr:cNvSpPr txBox="1"/>
      </xdr:nvSpPr>
      <xdr:spPr>
        <a:xfrm>
          <a:off x="2705100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86" name="CasellaDiTesto 118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87" name="CasellaDiTesto 118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88" name="CasellaDiTesto 118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89" name="CasellaDiTesto 118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190" name="CasellaDiTesto 1189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1" name="CasellaDiTesto 119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2" name="CasellaDiTesto 119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3" name="CasellaDiTesto 119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4" name="CasellaDiTesto 119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5" name="CasellaDiTesto 119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6" name="CasellaDiTesto 119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7" name="CasellaDiTesto 119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8" name="CasellaDiTesto 119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199" name="CasellaDiTesto 119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0" name="CasellaDiTesto 119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1" name="CasellaDiTesto 120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2" name="CasellaDiTesto 120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3" name="CasellaDiTesto 120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4" name="CasellaDiTesto 120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5" name="CasellaDiTesto 120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6" name="CasellaDiTesto 120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7" name="CasellaDiTesto 120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8" name="CasellaDiTesto 120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09" name="CasellaDiTesto 120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0" name="CasellaDiTesto 120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1" name="CasellaDiTesto 121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2" name="CasellaDiTesto 121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3" name="CasellaDiTesto 121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4" name="CasellaDiTesto 121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5" name="CasellaDiTesto 121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6" name="CasellaDiTesto 121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7" name="CasellaDiTesto 121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8" name="CasellaDiTesto 121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19" name="CasellaDiTesto 121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0" name="CasellaDiTesto 121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1" name="CasellaDiTesto 122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2" name="CasellaDiTesto 122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3" name="CasellaDiTesto 122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4" name="CasellaDiTesto 122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5" name="CasellaDiTesto 122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6" name="CasellaDiTesto 122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7" name="CasellaDiTesto 122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8" name="CasellaDiTesto 122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29" name="CasellaDiTesto 122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0" name="CasellaDiTesto 122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1" name="CasellaDiTesto 123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2" name="CasellaDiTesto 123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3" name="CasellaDiTesto 123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4" name="CasellaDiTesto 123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5" name="CasellaDiTesto 123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6" name="CasellaDiTesto 123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7" name="CasellaDiTesto 123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8" name="CasellaDiTesto 123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39" name="CasellaDiTesto 123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0" name="CasellaDiTesto 123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1" name="CasellaDiTesto 124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2" name="CasellaDiTesto 124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3" name="CasellaDiTesto 124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4" name="CasellaDiTesto 124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5" name="CasellaDiTesto 124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6" name="CasellaDiTesto 124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7" name="CasellaDiTesto 124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8" name="CasellaDiTesto 124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49" name="CasellaDiTesto 124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0" name="CasellaDiTesto 124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1" name="CasellaDiTesto 125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2" name="CasellaDiTesto 125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3" name="CasellaDiTesto 125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4" name="CasellaDiTesto 125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5" name="CasellaDiTesto 125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6" name="CasellaDiTesto 125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7" name="CasellaDiTesto 125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8" name="CasellaDiTesto 125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59" name="CasellaDiTesto 125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0" name="CasellaDiTesto 125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1" name="CasellaDiTesto 126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2" name="CasellaDiTesto 126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3" name="CasellaDiTesto 126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4" name="CasellaDiTesto 126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5" name="CasellaDiTesto 126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6" name="CasellaDiTesto 126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7" name="CasellaDiTesto 126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8" name="CasellaDiTesto 126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69" name="CasellaDiTesto 126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0" name="CasellaDiTesto 126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1" name="CasellaDiTesto 127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2" name="CasellaDiTesto 127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3" name="CasellaDiTesto 127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4" name="CasellaDiTesto 127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5" name="CasellaDiTesto 127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6" name="CasellaDiTesto 127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7" name="CasellaDiTesto 127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8" name="CasellaDiTesto 127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79" name="CasellaDiTesto 127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280" name="CasellaDiTesto 1279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1" name="CasellaDiTesto 128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2" name="CasellaDiTesto 128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3" name="CasellaDiTesto 128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4" name="CasellaDiTesto 128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5" name="CasellaDiTesto 128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6" name="CasellaDiTesto 128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7" name="CasellaDiTesto 128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8" name="CasellaDiTesto 128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89" name="CasellaDiTesto 128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0" name="CasellaDiTesto 128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1" name="CasellaDiTesto 129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2" name="CasellaDiTesto 129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3" name="CasellaDiTesto 129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4" name="CasellaDiTesto 129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5" name="CasellaDiTesto 129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6" name="CasellaDiTesto 129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7" name="CasellaDiTesto 129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8" name="CasellaDiTesto 129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299" name="CasellaDiTesto 129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0" name="CasellaDiTesto 129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1" name="CasellaDiTesto 130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2" name="CasellaDiTesto 130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3" name="CasellaDiTesto 130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4" name="CasellaDiTesto 130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5" name="CasellaDiTesto 130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6" name="CasellaDiTesto 130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7" name="CasellaDiTesto 130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8" name="CasellaDiTesto 130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09" name="CasellaDiTesto 130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0" name="CasellaDiTesto 130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1" name="CasellaDiTesto 131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2" name="CasellaDiTesto 131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3" name="CasellaDiTesto 131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4" name="CasellaDiTesto 131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5" name="CasellaDiTesto 131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6" name="CasellaDiTesto 131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7" name="CasellaDiTesto 131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8" name="CasellaDiTesto 131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19" name="CasellaDiTesto 131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0" name="CasellaDiTesto 131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1" name="CasellaDiTesto 132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2" name="CasellaDiTesto 132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3" name="CasellaDiTesto 132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4" name="CasellaDiTesto 132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5" name="CasellaDiTesto 132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6" name="CasellaDiTesto 132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7" name="CasellaDiTesto 132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8" name="CasellaDiTesto 132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29" name="CasellaDiTesto 132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0" name="CasellaDiTesto 132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1" name="CasellaDiTesto 133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2" name="CasellaDiTesto 133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3" name="CasellaDiTesto 133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4" name="CasellaDiTesto 133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5" name="CasellaDiTesto 133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6" name="CasellaDiTesto 133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7" name="CasellaDiTesto 133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338" name="CasellaDiTesto 1337"/>
        <xdr:cNvSpPr txBox="1"/>
      </xdr:nvSpPr>
      <xdr:spPr>
        <a:xfrm>
          <a:off x="55530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39" name="CasellaDiTesto 133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0" name="CasellaDiTesto 133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1" name="CasellaDiTesto 134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2" name="CasellaDiTesto 134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3" name="CasellaDiTesto 134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4" name="CasellaDiTesto 134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5" name="CasellaDiTesto 134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6" name="CasellaDiTesto 134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7" name="CasellaDiTesto 134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8" name="CasellaDiTesto 134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49" name="CasellaDiTesto 134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0" name="CasellaDiTesto 134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1" name="CasellaDiTesto 135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2" name="CasellaDiTesto 135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3" name="CasellaDiTesto 135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4" name="CasellaDiTesto 135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5" name="CasellaDiTesto 135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6" name="CasellaDiTesto 135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7" name="CasellaDiTesto 135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8" name="CasellaDiTesto 135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59" name="CasellaDiTesto 135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0" name="CasellaDiTesto 135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1" name="CasellaDiTesto 136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2" name="CasellaDiTesto 136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3" name="CasellaDiTesto 136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4" name="CasellaDiTesto 136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5" name="CasellaDiTesto 136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6" name="CasellaDiTesto 136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7" name="CasellaDiTesto 136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8" name="CasellaDiTesto 136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69" name="CasellaDiTesto 136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0" name="CasellaDiTesto 136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1" name="CasellaDiTesto 137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2" name="CasellaDiTesto 137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3" name="CasellaDiTesto 137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4" name="CasellaDiTesto 137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5" name="CasellaDiTesto 137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6" name="CasellaDiTesto 137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7" name="CasellaDiTesto 137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8" name="CasellaDiTesto 137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79" name="CasellaDiTesto 137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0" name="CasellaDiTesto 137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1" name="CasellaDiTesto 1380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2" name="CasellaDiTesto 1381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3" name="CasellaDiTesto 1382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4" name="CasellaDiTesto 1383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5" name="CasellaDiTesto 1384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6" name="CasellaDiTesto 1385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7" name="CasellaDiTesto 1386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8" name="CasellaDiTesto 1387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89" name="CasellaDiTesto 1388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0" name="CasellaDiTesto 1389"/>
        <xdr:cNvSpPr txBox="1"/>
      </xdr:nvSpPr>
      <xdr:spPr>
        <a:xfrm>
          <a:off x="185737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1" name="CasellaDiTesto 139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2" name="CasellaDiTesto 139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3" name="CasellaDiTesto 139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4" name="CasellaDiTesto 139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5" name="CasellaDiTesto 139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6" name="CasellaDiTesto 139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7" name="CasellaDiTesto 139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8" name="CasellaDiTesto 139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399" name="CasellaDiTesto 139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0" name="CasellaDiTesto 139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1" name="CasellaDiTesto 140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2" name="CasellaDiTesto 140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3" name="CasellaDiTesto 140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4" name="CasellaDiTesto 140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5" name="CasellaDiTesto 140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6" name="CasellaDiTesto 140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7" name="CasellaDiTesto 140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8" name="CasellaDiTesto 140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09" name="CasellaDiTesto 140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0" name="CasellaDiTesto 140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1" name="CasellaDiTesto 141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2" name="CasellaDiTesto 141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3" name="CasellaDiTesto 141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4" name="CasellaDiTesto 141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5" name="CasellaDiTesto 141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6" name="CasellaDiTesto 141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7" name="CasellaDiTesto 141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8" name="CasellaDiTesto 141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19" name="CasellaDiTesto 141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0" name="CasellaDiTesto 141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1" name="CasellaDiTesto 142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2" name="CasellaDiTesto 142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3" name="CasellaDiTesto 142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4" name="CasellaDiTesto 142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5" name="CasellaDiTesto 142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6" name="CasellaDiTesto 142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7" name="CasellaDiTesto 142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106</xdr:row>
      <xdr:rowOff>0</xdr:rowOff>
    </xdr:from>
    <xdr:ext cx="184731" cy="264560"/>
    <xdr:sp macro="" textlink="">
      <xdr:nvSpPr>
        <xdr:cNvPr id="1428" name="CasellaDiTesto 1427"/>
        <xdr:cNvSpPr txBox="1"/>
      </xdr:nvSpPr>
      <xdr:spPr>
        <a:xfrm>
          <a:off x="55530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29" name="CasellaDiTesto 142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0" name="CasellaDiTesto 142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1" name="CasellaDiTesto 143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2" name="CasellaDiTesto 143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3" name="CasellaDiTesto 143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4" name="CasellaDiTesto 143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5" name="CasellaDiTesto 143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6" name="CasellaDiTesto 143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7" name="CasellaDiTesto 143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8" name="CasellaDiTesto 143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39" name="CasellaDiTesto 143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0" name="CasellaDiTesto 143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1" name="CasellaDiTesto 144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2" name="CasellaDiTesto 144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3" name="CasellaDiTesto 144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4" name="CasellaDiTesto 144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5" name="CasellaDiTesto 144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6" name="CasellaDiTesto 144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7" name="CasellaDiTesto 144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8" name="CasellaDiTesto 144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49" name="CasellaDiTesto 144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0" name="CasellaDiTesto 144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1" name="CasellaDiTesto 145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2" name="CasellaDiTesto 145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3" name="CasellaDiTesto 145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4" name="CasellaDiTesto 145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5" name="CasellaDiTesto 145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6" name="CasellaDiTesto 145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7" name="CasellaDiTesto 145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8" name="CasellaDiTesto 145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59" name="CasellaDiTesto 145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0" name="CasellaDiTesto 145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1" name="CasellaDiTesto 146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2" name="CasellaDiTesto 146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3" name="CasellaDiTesto 146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4" name="CasellaDiTesto 146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5" name="CasellaDiTesto 146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6" name="CasellaDiTesto 146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7" name="CasellaDiTesto 146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8" name="CasellaDiTesto 146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69" name="CasellaDiTesto 146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0" name="CasellaDiTesto 146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1" name="CasellaDiTesto 147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2" name="CasellaDiTesto 1471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3" name="CasellaDiTesto 1472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4" name="CasellaDiTesto 1473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5" name="CasellaDiTesto 1474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6" name="CasellaDiTesto 1475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7" name="CasellaDiTesto 1476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8" name="CasellaDiTesto 1477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79" name="CasellaDiTesto 1478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80" name="CasellaDiTesto 1479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84731" cy="264560"/>
    <xdr:sp macro="" textlink="">
      <xdr:nvSpPr>
        <xdr:cNvPr id="1481" name="CasellaDiTesto 1480"/>
        <xdr:cNvSpPr txBox="1"/>
      </xdr:nvSpPr>
      <xdr:spPr>
        <a:xfrm>
          <a:off x="1857375" y="2303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2" name="CasellaDiTesto 1481"/>
        <xdr:cNvSpPr txBox="1"/>
      </xdr:nvSpPr>
      <xdr:spPr>
        <a:xfrm>
          <a:off x="2590800" y="2126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3" name="CasellaDiTesto 1482"/>
        <xdr:cNvSpPr txBox="1"/>
      </xdr:nvSpPr>
      <xdr:spPr>
        <a:xfrm>
          <a:off x="2590800" y="2126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4" name="CasellaDiTesto 1483"/>
        <xdr:cNvSpPr txBox="1"/>
      </xdr:nvSpPr>
      <xdr:spPr>
        <a:xfrm>
          <a:off x="2590800" y="2126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5" name="CasellaDiTesto 1484"/>
        <xdr:cNvSpPr txBox="1"/>
      </xdr:nvSpPr>
      <xdr:spPr>
        <a:xfrm>
          <a:off x="2590800" y="21955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6" name="CasellaDiTesto 1485"/>
        <xdr:cNvSpPr txBox="1"/>
      </xdr:nvSpPr>
      <xdr:spPr>
        <a:xfrm>
          <a:off x="2590800" y="2126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7" name="CasellaDiTesto 1486"/>
        <xdr:cNvSpPr txBox="1"/>
      </xdr:nvSpPr>
      <xdr:spPr>
        <a:xfrm>
          <a:off x="2590800" y="2126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8" name="CasellaDiTesto 1487"/>
        <xdr:cNvSpPr txBox="1"/>
      </xdr:nvSpPr>
      <xdr:spPr>
        <a:xfrm>
          <a:off x="2590800" y="2126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89" name="CasellaDiTesto 1488"/>
        <xdr:cNvSpPr txBox="1"/>
      </xdr:nvSpPr>
      <xdr:spPr>
        <a:xfrm>
          <a:off x="2590800" y="2241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0" name="CasellaDiTesto 1489"/>
        <xdr:cNvSpPr txBox="1"/>
      </xdr:nvSpPr>
      <xdr:spPr>
        <a:xfrm>
          <a:off x="2590800" y="22640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1" name="CasellaDiTesto 1490"/>
        <xdr:cNvSpPr txBox="1"/>
      </xdr:nvSpPr>
      <xdr:spPr>
        <a:xfrm>
          <a:off x="2590800" y="22640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2" name="CasellaDiTesto 1491"/>
        <xdr:cNvSpPr txBox="1"/>
      </xdr:nvSpPr>
      <xdr:spPr>
        <a:xfrm>
          <a:off x="2590800" y="2218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3" name="CasellaDiTesto 1492"/>
        <xdr:cNvSpPr txBox="1"/>
      </xdr:nvSpPr>
      <xdr:spPr>
        <a:xfrm>
          <a:off x="2590800" y="22640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4" name="CasellaDiTesto 1493"/>
        <xdr:cNvSpPr txBox="1"/>
      </xdr:nvSpPr>
      <xdr:spPr>
        <a:xfrm>
          <a:off x="2590800" y="2241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5" name="CasellaDiTesto 1494"/>
        <xdr:cNvSpPr txBox="1"/>
      </xdr:nvSpPr>
      <xdr:spPr>
        <a:xfrm>
          <a:off x="2590800" y="22640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733425</xdr:colOff>
      <xdr:row>106</xdr:row>
      <xdr:rowOff>0</xdr:rowOff>
    </xdr:from>
    <xdr:ext cx="194454" cy="255111"/>
    <xdr:sp macro="" textlink="">
      <xdr:nvSpPr>
        <xdr:cNvPr id="1497" name="CasellaDiTesto 1496"/>
        <xdr:cNvSpPr txBox="1"/>
      </xdr:nvSpPr>
      <xdr:spPr>
        <a:xfrm>
          <a:off x="2590800" y="22640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498" name="CasellaDiTesto 14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499" name="CasellaDiTesto 14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0" name="CasellaDiTesto 14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1" name="CasellaDiTesto 15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2" name="CasellaDiTesto 15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3" name="CasellaDiTesto 15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4" name="CasellaDiTesto 15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5" name="CasellaDiTesto 15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6" name="CasellaDiTesto 15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7" name="CasellaDiTesto 15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8" name="CasellaDiTesto 15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09" name="CasellaDiTesto 15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0" name="CasellaDiTesto 15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1" name="CasellaDiTesto 15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2" name="CasellaDiTesto 15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3" name="CasellaDiTesto 15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4" name="CasellaDiTesto 15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5" name="CasellaDiTesto 15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6" name="CasellaDiTesto 15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7" name="CasellaDiTesto 15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8" name="CasellaDiTesto 15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19" name="CasellaDiTesto 15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0" name="CasellaDiTesto 15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1" name="CasellaDiTesto 15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2" name="CasellaDiTesto 15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3" name="CasellaDiTesto 15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4" name="CasellaDiTesto 15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5" name="CasellaDiTesto 15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6" name="CasellaDiTesto 15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7" name="CasellaDiTesto 15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8" name="CasellaDiTesto 15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29" name="CasellaDiTesto 15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0" name="CasellaDiTesto 15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1" name="CasellaDiTesto 15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2" name="CasellaDiTesto 15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3" name="CasellaDiTesto 15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4" name="CasellaDiTesto 15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1535" name="CasellaDiTesto 1534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6" name="CasellaDiTesto 15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7" name="CasellaDiTesto 15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8" name="CasellaDiTesto 15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39" name="CasellaDiTesto 15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0" name="CasellaDiTesto 15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1" name="CasellaDiTesto 15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2" name="CasellaDiTesto 15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3" name="CasellaDiTesto 15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4" name="CasellaDiTesto 15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5" name="CasellaDiTesto 15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6" name="CasellaDiTesto 15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7" name="CasellaDiTesto 15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8" name="CasellaDiTesto 15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49" name="CasellaDiTesto 15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0" name="CasellaDiTesto 15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1" name="CasellaDiTesto 15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2" name="CasellaDiTesto 15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3" name="CasellaDiTesto 15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4" name="CasellaDiTesto 15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5" name="CasellaDiTesto 15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6" name="CasellaDiTesto 15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7" name="CasellaDiTesto 15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8" name="CasellaDiTesto 15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59" name="CasellaDiTesto 15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0" name="CasellaDiTesto 15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1" name="CasellaDiTesto 15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2" name="CasellaDiTesto 15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3" name="CasellaDiTesto 15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4" name="CasellaDiTesto 15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5" name="CasellaDiTesto 15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6" name="CasellaDiTesto 15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7" name="CasellaDiTesto 15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8" name="CasellaDiTesto 15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69" name="CasellaDiTesto 15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0" name="CasellaDiTesto 15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1" name="CasellaDiTesto 15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2" name="CasellaDiTesto 15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3" name="CasellaDiTesto 15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4" name="CasellaDiTesto 15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5" name="CasellaDiTesto 15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6" name="CasellaDiTesto 15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7" name="CasellaDiTesto 15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8" name="CasellaDiTesto 15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79" name="CasellaDiTesto 15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0" name="CasellaDiTesto 15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1" name="CasellaDiTesto 15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2" name="CasellaDiTesto 15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3" name="CasellaDiTesto 15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4" name="CasellaDiTesto 15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5" name="CasellaDiTesto 15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6" name="CasellaDiTesto 15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7" name="CasellaDiTesto 15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8" name="CasellaDiTesto 15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89" name="CasellaDiTesto 15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0" name="CasellaDiTesto 15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1" name="CasellaDiTesto 15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2" name="CasellaDiTesto 15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3" name="CasellaDiTesto 15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4" name="CasellaDiTesto 15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5" name="CasellaDiTesto 15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6" name="CasellaDiTesto 15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7" name="CasellaDiTesto 15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8" name="CasellaDiTesto 15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599" name="CasellaDiTesto 15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0" name="CasellaDiTesto 15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1" name="CasellaDiTesto 16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2" name="CasellaDiTesto 16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3" name="CasellaDiTesto 16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4" name="CasellaDiTesto 16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5" name="CasellaDiTesto 16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6" name="CasellaDiTesto 16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7" name="CasellaDiTesto 16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8" name="CasellaDiTesto 16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09" name="CasellaDiTesto 16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0" name="CasellaDiTesto 16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1" name="CasellaDiTesto 16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2" name="CasellaDiTesto 16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3" name="CasellaDiTesto 16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4" name="CasellaDiTesto 16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5" name="CasellaDiTesto 16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6" name="CasellaDiTesto 16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7" name="CasellaDiTesto 16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8" name="CasellaDiTesto 16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19" name="CasellaDiTesto 16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0" name="CasellaDiTesto 16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1" name="CasellaDiTesto 16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2" name="CasellaDiTesto 16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3" name="CasellaDiTesto 16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4" name="CasellaDiTesto 16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5" name="CasellaDiTesto 16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1626" name="CasellaDiTesto 1625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7" name="CasellaDiTesto 16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8" name="CasellaDiTesto 16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29" name="CasellaDiTesto 16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0" name="CasellaDiTesto 16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1" name="CasellaDiTesto 16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2" name="CasellaDiTesto 16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3" name="CasellaDiTesto 16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4" name="CasellaDiTesto 16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5" name="CasellaDiTesto 16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6" name="CasellaDiTesto 16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7" name="CasellaDiTesto 16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8" name="CasellaDiTesto 16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39" name="CasellaDiTesto 16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0" name="CasellaDiTesto 16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1" name="CasellaDiTesto 16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2" name="CasellaDiTesto 16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3" name="CasellaDiTesto 16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4" name="CasellaDiTesto 16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5" name="CasellaDiTesto 16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6" name="CasellaDiTesto 16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7" name="CasellaDiTesto 16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8" name="CasellaDiTesto 16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49" name="CasellaDiTesto 16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0" name="CasellaDiTesto 16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1" name="CasellaDiTesto 16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2" name="CasellaDiTesto 16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3" name="CasellaDiTesto 16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4" name="CasellaDiTesto 16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5" name="CasellaDiTesto 16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6" name="CasellaDiTesto 16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7" name="CasellaDiTesto 16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8" name="CasellaDiTesto 16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59" name="CasellaDiTesto 16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0" name="CasellaDiTesto 16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1" name="CasellaDiTesto 16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2" name="CasellaDiTesto 16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3" name="CasellaDiTesto 16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4" name="CasellaDiTesto 16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5" name="CasellaDiTesto 16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6" name="CasellaDiTesto 16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7" name="CasellaDiTesto 16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8" name="CasellaDiTesto 16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69" name="CasellaDiTesto 16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0" name="CasellaDiTesto 16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1" name="CasellaDiTesto 16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2" name="CasellaDiTesto 16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3" name="CasellaDiTesto 16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4" name="CasellaDiTesto 16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5" name="CasellaDiTesto 16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6" name="CasellaDiTesto 16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7" name="CasellaDiTesto 16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8" name="CasellaDiTesto 16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79" name="CasellaDiTesto 16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0" name="CasellaDiTesto 16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1" name="CasellaDiTesto 16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2" name="CasellaDiTesto 16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3" name="CasellaDiTesto 16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4" name="CasellaDiTesto 16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5" name="CasellaDiTesto 16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6" name="CasellaDiTesto 16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7" name="CasellaDiTesto 16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8" name="CasellaDiTesto 16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89" name="CasellaDiTesto 16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0" name="CasellaDiTesto 16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1" name="CasellaDiTesto 16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2" name="CasellaDiTesto 16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3" name="CasellaDiTesto 16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4" name="CasellaDiTesto 16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5" name="CasellaDiTesto 16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6" name="CasellaDiTesto 16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7" name="CasellaDiTesto 16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8" name="CasellaDiTesto 16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699" name="CasellaDiTesto 16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0" name="CasellaDiTesto 16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1" name="CasellaDiTesto 17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2" name="CasellaDiTesto 17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3" name="CasellaDiTesto 17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4" name="CasellaDiTesto 17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5" name="CasellaDiTesto 17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6" name="CasellaDiTesto 17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7" name="CasellaDiTesto 17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8" name="CasellaDiTesto 17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09" name="CasellaDiTesto 17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0" name="CasellaDiTesto 17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1" name="CasellaDiTesto 17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2" name="CasellaDiTesto 17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3" name="CasellaDiTesto 17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4" name="CasellaDiTesto 17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5" name="CasellaDiTesto 17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6" name="CasellaDiTesto 17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1717" name="CasellaDiTesto 1716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8" name="CasellaDiTesto 17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19" name="CasellaDiTesto 17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0" name="CasellaDiTesto 17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1" name="CasellaDiTesto 17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2" name="CasellaDiTesto 17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3" name="CasellaDiTesto 17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4" name="CasellaDiTesto 17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5" name="CasellaDiTesto 17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6" name="CasellaDiTesto 17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7" name="CasellaDiTesto 17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8" name="CasellaDiTesto 17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29" name="CasellaDiTesto 17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0" name="CasellaDiTesto 17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1" name="CasellaDiTesto 17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2" name="CasellaDiTesto 17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3" name="CasellaDiTesto 17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4" name="CasellaDiTesto 17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5" name="CasellaDiTesto 17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6" name="CasellaDiTesto 17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7" name="CasellaDiTesto 17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8" name="CasellaDiTesto 17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39" name="CasellaDiTesto 17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0" name="CasellaDiTesto 17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1" name="CasellaDiTesto 17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2" name="CasellaDiTesto 17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3" name="CasellaDiTesto 17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4" name="CasellaDiTesto 17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5" name="CasellaDiTesto 17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6" name="CasellaDiTesto 17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7" name="CasellaDiTesto 17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8" name="CasellaDiTesto 17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49" name="CasellaDiTesto 17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0" name="CasellaDiTesto 17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1" name="CasellaDiTesto 17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2" name="CasellaDiTesto 17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3" name="CasellaDiTesto 17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4" name="CasellaDiTesto 17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5" name="CasellaDiTesto 17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6" name="CasellaDiTesto 17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7" name="CasellaDiTesto 17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8" name="CasellaDiTesto 17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59" name="CasellaDiTesto 17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0" name="CasellaDiTesto 17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1" name="CasellaDiTesto 17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2" name="CasellaDiTesto 17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3" name="CasellaDiTesto 17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4" name="CasellaDiTesto 17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5" name="CasellaDiTesto 17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6" name="CasellaDiTesto 17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7" name="CasellaDiTesto 17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8" name="CasellaDiTesto 17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69" name="CasellaDiTesto 17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0" name="CasellaDiTesto 17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1" name="CasellaDiTesto 17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2" name="CasellaDiTesto 17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3" name="CasellaDiTesto 17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4" name="CasellaDiTesto 17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5" name="CasellaDiTesto 17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6" name="CasellaDiTesto 17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7" name="CasellaDiTesto 17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8" name="CasellaDiTesto 17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79" name="CasellaDiTesto 17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0" name="CasellaDiTesto 17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1" name="CasellaDiTesto 17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2" name="CasellaDiTesto 17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3" name="CasellaDiTesto 17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4" name="CasellaDiTesto 17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5" name="CasellaDiTesto 17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6" name="CasellaDiTesto 17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7" name="CasellaDiTesto 17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8" name="CasellaDiTesto 17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89" name="CasellaDiTesto 17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0" name="CasellaDiTesto 17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1" name="CasellaDiTesto 17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2" name="CasellaDiTesto 17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3" name="CasellaDiTesto 17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4" name="CasellaDiTesto 17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5" name="CasellaDiTesto 17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6" name="CasellaDiTesto 17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7" name="CasellaDiTesto 17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8" name="CasellaDiTesto 17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799" name="CasellaDiTesto 17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0" name="CasellaDiTesto 17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1" name="CasellaDiTesto 18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2" name="CasellaDiTesto 18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3" name="CasellaDiTesto 18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4" name="CasellaDiTesto 18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5" name="CasellaDiTesto 18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6" name="CasellaDiTesto 18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7" name="CasellaDiTesto 18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1808" name="CasellaDiTesto 1807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09" name="CasellaDiTesto 18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0" name="CasellaDiTesto 18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1" name="CasellaDiTesto 18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2" name="CasellaDiTesto 18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3" name="CasellaDiTesto 18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4" name="CasellaDiTesto 18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5" name="CasellaDiTesto 18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6" name="CasellaDiTesto 18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7" name="CasellaDiTesto 18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8" name="CasellaDiTesto 18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19" name="CasellaDiTesto 18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0" name="CasellaDiTesto 18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1" name="CasellaDiTesto 18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2" name="CasellaDiTesto 18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3" name="CasellaDiTesto 18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4" name="CasellaDiTesto 18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5" name="CasellaDiTesto 18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6" name="CasellaDiTesto 18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7" name="CasellaDiTesto 18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8" name="CasellaDiTesto 18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29" name="CasellaDiTesto 18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0" name="CasellaDiTesto 18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1" name="CasellaDiTesto 18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2" name="CasellaDiTesto 18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3" name="CasellaDiTesto 18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4" name="CasellaDiTesto 18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5" name="CasellaDiTesto 18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6" name="CasellaDiTesto 18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7" name="CasellaDiTesto 18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8" name="CasellaDiTesto 18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39" name="CasellaDiTesto 18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0" name="CasellaDiTesto 18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1" name="CasellaDiTesto 18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2" name="CasellaDiTesto 18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3" name="CasellaDiTesto 18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4" name="CasellaDiTesto 18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5" name="CasellaDiTesto 18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6" name="CasellaDiTesto 18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7" name="CasellaDiTesto 18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8" name="CasellaDiTesto 18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49" name="CasellaDiTesto 18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0" name="CasellaDiTesto 18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1" name="CasellaDiTesto 18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2" name="CasellaDiTesto 18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3" name="CasellaDiTesto 18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4" name="CasellaDiTesto 18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5" name="CasellaDiTesto 18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6" name="CasellaDiTesto 18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7" name="CasellaDiTesto 18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8" name="CasellaDiTesto 18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59" name="CasellaDiTesto 18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0" name="CasellaDiTesto 18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1" name="CasellaDiTesto 18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2" name="CasellaDiTesto 18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3" name="CasellaDiTesto 18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4" name="CasellaDiTesto 18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5" name="CasellaDiTesto 18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6" name="CasellaDiTesto 18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7" name="CasellaDiTesto 18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8" name="CasellaDiTesto 18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69" name="CasellaDiTesto 18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0" name="CasellaDiTesto 18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1" name="CasellaDiTesto 18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2" name="CasellaDiTesto 18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3" name="CasellaDiTesto 18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4" name="CasellaDiTesto 18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5" name="CasellaDiTesto 18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6" name="CasellaDiTesto 18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7" name="CasellaDiTesto 18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8" name="CasellaDiTesto 18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79" name="CasellaDiTesto 18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0" name="CasellaDiTesto 18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1" name="CasellaDiTesto 18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2" name="CasellaDiTesto 18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3" name="CasellaDiTesto 18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4" name="CasellaDiTesto 18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5" name="CasellaDiTesto 18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6" name="CasellaDiTesto 18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7" name="CasellaDiTesto 18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8" name="CasellaDiTesto 18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89" name="CasellaDiTesto 18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0" name="CasellaDiTesto 18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1" name="CasellaDiTesto 18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2" name="CasellaDiTesto 18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3" name="CasellaDiTesto 18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4" name="CasellaDiTesto 18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5" name="CasellaDiTesto 18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6" name="CasellaDiTesto 18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7" name="CasellaDiTesto 18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898" name="CasellaDiTesto 18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1899" name="CasellaDiTesto 1898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0" name="CasellaDiTesto 18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1" name="CasellaDiTesto 19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2" name="CasellaDiTesto 19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3" name="CasellaDiTesto 19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4" name="CasellaDiTesto 19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5" name="CasellaDiTesto 19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6" name="CasellaDiTesto 19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7" name="CasellaDiTesto 19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8" name="CasellaDiTesto 19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09" name="CasellaDiTesto 19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0" name="CasellaDiTesto 19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1" name="CasellaDiTesto 19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2" name="CasellaDiTesto 19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3" name="CasellaDiTesto 19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4" name="CasellaDiTesto 19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5" name="CasellaDiTesto 19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6" name="CasellaDiTesto 19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7" name="CasellaDiTesto 19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8" name="CasellaDiTesto 19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19" name="CasellaDiTesto 19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0" name="CasellaDiTesto 19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1" name="CasellaDiTesto 19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2" name="CasellaDiTesto 19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3" name="CasellaDiTesto 19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4" name="CasellaDiTesto 19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5" name="CasellaDiTesto 19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6" name="CasellaDiTesto 19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7" name="CasellaDiTesto 19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8" name="CasellaDiTesto 19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29" name="CasellaDiTesto 19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0" name="CasellaDiTesto 19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1" name="CasellaDiTesto 19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2" name="CasellaDiTesto 19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3" name="CasellaDiTesto 19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4" name="CasellaDiTesto 19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5" name="CasellaDiTesto 19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6" name="CasellaDiTesto 19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7" name="CasellaDiTesto 19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8" name="CasellaDiTesto 19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39" name="CasellaDiTesto 19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0" name="CasellaDiTesto 19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1" name="CasellaDiTesto 19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2" name="CasellaDiTesto 19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3" name="CasellaDiTesto 19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4" name="CasellaDiTesto 19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5" name="CasellaDiTesto 19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6" name="CasellaDiTesto 19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7" name="CasellaDiTesto 19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8" name="CasellaDiTesto 19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49" name="CasellaDiTesto 19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0" name="CasellaDiTesto 19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1" name="CasellaDiTesto 19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2" name="CasellaDiTesto 19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3" name="CasellaDiTesto 19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4" name="CasellaDiTesto 19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5" name="CasellaDiTesto 19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6" name="CasellaDiTesto 19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7" name="CasellaDiTesto 19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8" name="CasellaDiTesto 19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59" name="CasellaDiTesto 19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0" name="CasellaDiTesto 19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1" name="CasellaDiTesto 19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2" name="CasellaDiTesto 19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3" name="CasellaDiTesto 19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4" name="CasellaDiTesto 19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5" name="CasellaDiTesto 19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6" name="CasellaDiTesto 19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7" name="CasellaDiTesto 19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8" name="CasellaDiTesto 19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69" name="CasellaDiTesto 19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0" name="CasellaDiTesto 19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1" name="CasellaDiTesto 19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2" name="CasellaDiTesto 19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3" name="CasellaDiTesto 19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4" name="CasellaDiTesto 19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5" name="CasellaDiTesto 19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6" name="CasellaDiTesto 19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7" name="CasellaDiTesto 19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8" name="CasellaDiTesto 19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79" name="CasellaDiTesto 19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0" name="CasellaDiTesto 19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1" name="CasellaDiTesto 19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2" name="CasellaDiTesto 19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3" name="CasellaDiTesto 19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4" name="CasellaDiTesto 19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5" name="CasellaDiTesto 19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6" name="CasellaDiTesto 19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7" name="CasellaDiTesto 19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8" name="CasellaDiTesto 19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89" name="CasellaDiTesto 19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1990" name="CasellaDiTesto 1989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1" name="CasellaDiTesto 19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2" name="CasellaDiTesto 19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3" name="CasellaDiTesto 19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4" name="CasellaDiTesto 19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5" name="CasellaDiTesto 19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6" name="CasellaDiTesto 19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7" name="CasellaDiTesto 19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8" name="CasellaDiTesto 19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1999" name="CasellaDiTesto 19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0" name="CasellaDiTesto 19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1" name="CasellaDiTesto 20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2" name="CasellaDiTesto 20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3" name="CasellaDiTesto 20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4" name="CasellaDiTesto 20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5" name="CasellaDiTesto 20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6" name="CasellaDiTesto 20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7" name="CasellaDiTesto 20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8" name="CasellaDiTesto 20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09" name="CasellaDiTesto 20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0" name="CasellaDiTesto 20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1" name="CasellaDiTesto 20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2" name="CasellaDiTesto 20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3" name="CasellaDiTesto 20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4" name="CasellaDiTesto 20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5" name="CasellaDiTesto 20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6" name="CasellaDiTesto 20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7" name="CasellaDiTesto 20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8" name="CasellaDiTesto 20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19" name="CasellaDiTesto 20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0" name="CasellaDiTesto 20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1" name="CasellaDiTesto 20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2" name="CasellaDiTesto 20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3" name="CasellaDiTesto 20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4" name="CasellaDiTesto 20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5" name="CasellaDiTesto 20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6" name="CasellaDiTesto 20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7" name="CasellaDiTesto 20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8" name="CasellaDiTesto 20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29" name="CasellaDiTesto 20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0" name="CasellaDiTesto 20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1" name="CasellaDiTesto 20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2" name="CasellaDiTesto 20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3" name="CasellaDiTesto 20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4" name="CasellaDiTesto 20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5" name="CasellaDiTesto 20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6" name="CasellaDiTesto 20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7" name="CasellaDiTesto 20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8" name="CasellaDiTesto 20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39" name="CasellaDiTesto 20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0" name="CasellaDiTesto 20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1" name="CasellaDiTesto 20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2" name="CasellaDiTesto 20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3" name="CasellaDiTesto 20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4" name="CasellaDiTesto 20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5" name="CasellaDiTesto 20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6" name="CasellaDiTesto 20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7" name="CasellaDiTesto 20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8" name="CasellaDiTesto 20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49" name="CasellaDiTesto 20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0" name="CasellaDiTesto 20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1" name="CasellaDiTesto 20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2" name="CasellaDiTesto 20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3" name="CasellaDiTesto 20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4" name="CasellaDiTesto 20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5" name="CasellaDiTesto 20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6" name="CasellaDiTesto 20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7" name="CasellaDiTesto 20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8" name="CasellaDiTesto 20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59" name="CasellaDiTesto 20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0" name="CasellaDiTesto 20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1" name="CasellaDiTesto 20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2" name="CasellaDiTesto 20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3" name="CasellaDiTesto 20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4" name="CasellaDiTesto 20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5" name="CasellaDiTesto 20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6" name="CasellaDiTesto 20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7" name="CasellaDiTesto 20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8" name="CasellaDiTesto 20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69" name="CasellaDiTesto 20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0" name="CasellaDiTesto 20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1" name="CasellaDiTesto 20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2" name="CasellaDiTesto 20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3" name="CasellaDiTesto 20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4" name="CasellaDiTesto 20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5" name="CasellaDiTesto 20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6" name="CasellaDiTesto 20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7" name="CasellaDiTesto 20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8" name="CasellaDiTesto 20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79" name="CasellaDiTesto 20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0" name="CasellaDiTesto 20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081" name="CasellaDiTesto 2080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2" name="CasellaDiTesto 20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3" name="CasellaDiTesto 20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4" name="CasellaDiTesto 20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5" name="CasellaDiTesto 20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6" name="CasellaDiTesto 20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7" name="CasellaDiTesto 20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8" name="CasellaDiTesto 20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89" name="CasellaDiTesto 20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0" name="CasellaDiTesto 20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1" name="CasellaDiTesto 20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2" name="CasellaDiTesto 20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3" name="CasellaDiTesto 20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4" name="CasellaDiTesto 20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5" name="CasellaDiTesto 20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6" name="CasellaDiTesto 20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7" name="CasellaDiTesto 20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8" name="CasellaDiTesto 20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099" name="CasellaDiTesto 20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0" name="CasellaDiTesto 20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1" name="CasellaDiTesto 21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2" name="CasellaDiTesto 21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3" name="CasellaDiTesto 21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4" name="CasellaDiTesto 21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5" name="CasellaDiTesto 21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6" name="CasellaDiTesto 21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7" name="CasellaDiTesto 21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8" name="CasellaDiTesto 21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09" name="CasellaDiTesto 21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0" name="CasellaDiTesto 21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1" name="CasellaDiTesto 21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2" name="CasellaDiTesto 21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3" name="CasellaDiTesto 21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4" name="CasellaDiTesto 21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5" name="CasellaDiTesto 21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6" name="CasellaDiTesto 21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7" name="CasellaDiTesto 21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8" name="CasellaDiTesto 21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19" name="CasellaDiTesto 21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0" name="CasellaDiTesto 21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1" name="CasellaDiTesto 21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2" name="CasellaDiTesto 21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3" name="CasellaDiTesto 21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4" name="CasellaDiTesto 21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5" name="CasellaDiTesto 21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6" name="CasellaDiTesto 21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7" name="CasellaDiTesto 21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8" name="CasellaDiTesto 21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29" name="CasellaDiTesto 21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0" name="CasellaDiTesto 21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1" name="CasellaDiTesto 21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2" name="CasellaDiTesto 21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3" name="CasellaDiTesto 21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4" name="CasellaDiTesto 21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5" name="CasellaDiTesto 21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6" name="CasellaDiTesto 21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7" name="CasellaDiTesto 21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8" name="CasellaDiTesto 21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39" name="CasellaDiTesto 21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0" name="CasellaDiTesto 21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1" name="CasellaDiTesto 21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2" name="CasellaDiTesto 21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3" name="CasellaDiTesto 21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4" name="CasellaDiTesto 21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5" name="CasellaDiTesto 21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6" name="CasellaDiTesto 21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7" name="CasellaDiTesto 21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8" name="CasellaDiTesto 21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49" name="CasellaDiTesto 21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0" name="CasellaDiTesto 21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1" name="CasellaDiTesto 21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2" name="CasellaDiTesto 21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3" name="CasellaDiTesto 21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4" name="CasellaDiTesto 21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5" name="CasellaDiTesto 21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6" name="CasellaDiTesto 21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7" name="CasellaDiTesto 21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8" name="CasellaDiTesto 21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59" name="CasellaDiTesto 21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0" name="CasellaDiTesto 21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1" name="CasellaDiTesto 21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2" name="CasellaDiTesto 21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3" name="CasellaDiTesto 21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4" name="CasellaDiTesto 21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5" name="CasellaDiTesto 21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6" name="CasellaDiTesto 21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7" name="CasellaDiTesto 21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8" name="CasellaDiTesto 21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69" name="CasellaDiTesto 21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0" name="CasellaDiTesto 21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1" name="CasellaDiTesto 21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172" name="CasellaDiTesto 2171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3" name="CasellaDiTesto 21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4" name="CasellaDiTesto 21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5" name="CasellaDiTesto 21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6" name="CasellaDiTesto 21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7" name="CasellaDiTesto 21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8" name="CasellaDiTesto 21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79" name="CasellaDiTesto 21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0" name="CasellaDiTesto 21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1" name="CasellaDiTesto 21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2" name="CasellaDiTesto 21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3" name="CasellaDiTesto 21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4" name="CasellaDiTesto 21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5" name="CasellaDiTesto 21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6" name="CasellaDiTesto 21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7" name="CasellaDiTesto 21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8" name="CasellaDiTesto 21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89" name="CasellaDiTesto 21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0" name="CasellaDiTesto 21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1" name="CasellaDiTesto 21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2" name="CasellaDiTesto 21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3" name="CasellaDiTesto 21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4" name="CasellaDiTesto 21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5" name="CasellaDiTesto 21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6" name="CasellaDiTesto 21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7" name="CasellaDiTesto 21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8" name="CasellaDiTesto 21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199" name="CasellaDiTesto 21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0" name="CasellaDiTesto 21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1" name="CasellaDiTesto 22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2" name="CasellaDiTesto 22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3" name="CasellaDiTesto 22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4" name="CasellaDiTesto 22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5" name="CasellaDiTesto 22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6" name="CasellaDiTesto 22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7" name="CasellaDiTesto 22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8" name="CasellaDiTesto 22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09" name="CasellaDiTesto 22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0" name="CasellaDiTesto 22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1" name="CasellaDiTesto 22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2" name="CasellaDiTesto 22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3" name="CasellaDiTesto 22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4" name="CasellaDiTesto 22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5" name="CasellaDiTesto 22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6" name="CasellaDiTesto 22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7" name="CasellaDiTesto 22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8" name="CasellaDiTesto 22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19" name="CasellaDiTesto 22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20" name="CasellaDiTesto 22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21" name="CasellaDiTesto 22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22" name="CasellaDiTesto 22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23" name="CasellaDiTesto 22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24" name="CasellaDiTesto 22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225" name="CasellaDiTesto 22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26" name="CasellaDiTesto 222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27" name="CasellaDiTesto 222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28" name="CasellaDiTesto 222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29" name="CasellaDiTesto 222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0" name="CasellaDiTesto 222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1" name="CasellaDiTesto 223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2" name="CasellaDiTesto 223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3" name="CasellaDiTesto 223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4" name="CasellaDiTesto 223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5" name="CasellaDiTesto 223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6" name="CasellaDiTesto 223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7" name="CasellaDiTesto 223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8" name="CasellaDiTesto 223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39" name="CasellaDiTesto 223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0" name="CasellaDiTesto 223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1" name="CasellaDiTesto 224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2" name="CasellaDiTesto 224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3" name="CasellaDiTesto 224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4" name="CasellaDiTesto 224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5" name="CasellaDiTesto 224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6" name="CasellaDiTesto 224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7" name="CasellaDiTesto 224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8" name="CasellaDiTesto 224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49" name="CasellaDiTesto 224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0" name="CasellaDiTesto 224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1" name="CasellaDiTesto 225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2" name="CasellaDiTesto 225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3" name="CasellaDiTesto 225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4" name="CasellaDiTesto 225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5" name="CasellaDiTesto 225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6" name="CasellaDiTesto 225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7" name="CasellaDiTesto 225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8" name="CasellaDiTesto 225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59" name="CasellaDiTesto 225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0" name="CasellaDiTesto 225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1" name="CasellaDiTesto 226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2" name="CasellaDiTesto 226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263" name="CasellaDiTesto 2262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4" name="CasellaDiTesto 226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5" name="CasellaDiTesto 226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6" name="CasellaDiTesto 226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7" name="CasellaDiTesto 226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8" name="CasellaDiTesto 226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69" name="CasellaDiTesto 226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0" name="CasellaDiTesto 226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1" name="CasellaDiTesto 227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2" name="CasellaDiTesto 227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3" name="CasellaDiTesto 227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4" name="CasellaDiTesto 227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5" name="CasellaDiTesto 227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6" name="CasellaDiTesto 227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7" name="CasellaDiTesto 227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8" name="CasellaDiTesto 227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79" name="CasellaDiTesto 227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0" name="CasellaDiTesto 227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1" name="CasellaDiTesto 228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2" name="CasellaDiTesto 228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3" name="CasellaDiTesto 228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4" name="CasellaDiTesto 228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5" name="CasellaDiTesto 228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6" name="CasellaDiTesto 228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7" name="CasellaDiTesto 228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8" name="CasellaDiTesto 228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89" name="CasellaDiTesto 228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0" name="CasellaDiTesto 228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1" name="CasellaDiTesto 229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2" name="CasellaDiTesto 229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3" name="CasellaDiTesto 229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4" name="CasellaDiTesto 229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5" name="CasellaDiTesto 229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6" name="CasellaDiTesto 229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7" name="CasellaDiTesto 229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8" name="CasellaDiTesto 229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299" name="CasellaDiTesto 229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0" name="CasellaDiTesto 229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1" name="CasellaDiTesto 230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2" name="CasellaDiTesto 230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3" name="CasellaDiTesto 230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4" name="CasellaDiTesto 230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5" name="CasellaDiTesto 230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6" name="CasellaDiTesto 230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7" name="CasellaDiTesto 230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8" name="CasellaDiTesto 230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09" name="CasellaDiTesto 230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0" name="CasellaDiTesto 230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1" name="CasellaDiTesto 231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2" name="CasellaDiTesto 231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3" name="CasellaDiTesto 231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4" name="CasellaDiTesto 231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5" name="CasellaDiTesto 231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6" name="CasellaDiTesto 231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7" name="CasellaDiTesto 231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8" name="CasellaDiTesto 231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19" name="CasellaDiTesto 231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0" name="CasellaDiTesto 231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1" name="CasellaDiTesto 232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2" name="CasellaDiTesto 232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3" name="CasellaDiTesto 232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4" name="CasellaDiTesto 232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5" name="CasellaDiTesto 232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6" name="CasellaDiTesto 232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7" name="CasellaDiTesto 232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8" name="CasellaDiTesto 232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29" name="CasellaDiTesto 232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0" name="CasellaDiTesto 232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1" name="CasellaDiTesto 233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2" name="CasellaDiTesto 233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3" name="CasellaDiTesto 233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4" name="CasellaDiTesto 233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5" name="CasellaDiTesto 233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6" name="CasellaDiTesto 233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7" name="CasellaDiTesto 233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8" name="CasellaDiTesto 233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39" name="CasellaDiTesto 233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0" name="CasellaDiTesto 233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1" name="CasellaDiTesto 234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2" name="CasellaDiTesto 234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3" name="CasellaDiTesto 234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4" name="CasellaDiTesto 234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5" name="CasellaDiTesto 234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6" name="CasellaDiTesto 234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7" name="CasellaDiTesto 234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8" name="CasellaDiTesto 234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49" name="CasellaDiTesto 234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0" name="CasellaDiTesto 234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1" name="CasellaDiTesto 235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2" name="CasellaDiTesto 235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3" name="CasellaDiTesto 235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354" name="CasellaDiTesto 2353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5" name="CasellaDiTesto 235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6" name="CasellaDiTesto 235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7" name="CasellaDiTesto 235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8" name="CasellaDiTesto 235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59" name="CasellaDiTesto 235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0" name="CasellaDiTesto 235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1" name="CasellaDiTesto 236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2" name="CasellaDiTesto 236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3" name="CasellaDiTesto 236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4" name="CasellaDiTesto 236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5" name="CasellaDiTesto 236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6" name="CasellaDiTesto 236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7" name="CasellaDiTesto 236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8" name="CasellaDiTesto 236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69" name="CasellaDiTesto 236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0" name="CasellaDiTesto 236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1" name="CasellaDiTesto 237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2" name="CasellaDiTesto 237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3" name="CasellaDiTesto 237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4" name="CasellaDiTesto 237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5" name="CasellaDiTesto 237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6" name="CasellaDiTesto 237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7" name="CasellaDiTesto 237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8" name="CasellaDiTesto 237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79" name="CasellaDiTesto 237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0" name="CasellaDiTesto 237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1" name="CasellaDiTesto 238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2" name="CasellaDiTesto 238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3" name="CasellaDiTesto 238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4" name="CasellaDiTesto 238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5" name="CasellaDiTesto 238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6" name="CasellaDiTesto 238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7" name="CasellaDiTesto 238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8" name="CasellaDiTesto 238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89" name="CasellaDiTesto 238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0" name="CasellaDiTesto 238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1" name="CasellaDiTesto 239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2" name="CasellaDiTesto 239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3" name="CasellaDiTesto 239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4" name="CasellaDiTesto 239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5" name="CasellaDiTesto 239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6" name="CasellaDiTesto 239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7" name="CasellaDiTesto 239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8" name="CasellaDiTesto 239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399" name="CasellaDiTesto 239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0" name="CasellaDiTesto 239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1" name="CasellaDiTesto 240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2" name="CasellaDiTesto 240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3" name="CasellaDiTesto 240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4" name="CasellaDiTesto 240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5" name="CasellaDiTesto 240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6" name="CasellaDiTesto 240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2407" name="CasellaDiTesto 240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08" name="CasellaDiTesto 24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09" name="CasellaDiTesto 24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0" name="CasellaDiTesto 24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1" name="CasellaDiTesto 24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2" name="CasellaDiTesto 24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3" name="CasellaDiTesto 24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4" name="CasellaDiTesto 24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5" name="CasellaDiTesto 24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6" name="CasellaDiTesto 24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7" name="CasellaDiTesto 24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8" name="CasellaDiTesto 24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19" name="CasellaDiTesto 24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0" name="CasellaDiTesto 24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1" name="CasellaDiTesto 24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2" name="CasellaDiTesto 24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3" name="CasellaDiTesto 24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4" name="CasellaDiTesto 24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5" name="CasellaDiTesto 24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6" name="CasellaDiTesto 24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7" name="CasellaDiTesto 24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8" name="CasellaDiTesto 24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29" name="CasellaDiTesto 24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0" name="CasellaDiTesto 24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1" name="CasellaDiTesto 24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2" name="CasellaDiTesto 24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3" name="CasellaDiTesto 24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4" name="CasellaDiTesto 24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5" name="CasellaDiTesto 24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6" name="CasellaDiTesto 24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7" name="CasellaDiTesto 24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8" name="CasellaDiTesto 24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39" name="CasellaDiTesto 24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0" name="CasellaDiTesto 24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1" name="CasellaDiTesto 24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2" name="CasellaDiTesto 24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3" name="CasellaDiTesto 24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4" name="CasellaDiTesto 24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445" name="CasellaDiTesto 2444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6" name="CasellaDiTesto 24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7" name="CasellaDiTesto 24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8" name="CasellaDiTesto 24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49" name="CasellaDiTesto 24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0" name="CasellaDiTesto 24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1" name="CasellaDiTesto 24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2" name="CasellaDiTesto 24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3" name="CasellaDiTesto 24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4" name="CasellaDiTesto 24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5" name="CasellaDiTesto 24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6" name="CasellaDiTesto 24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7" name="CasellaDiTesto 24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8" name="CasellaDiTesto 24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59" name="CasellaDiTesto 24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0" name="CasellaDiTesto 24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1" name="CasellaDiTesto 24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2" name="CasellaDiTesto 24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3" name="CasellaDiTesto 24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4" name="CasellaDiTesto 24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5" name="CasellaDiTesto 24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6" name="CasellaDiTesto 24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7" name="CasellaDiTesto 24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8" name="CasellaDiTesto 24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69" name="CasellaDiTesto 24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0" name="CasellaDiTesto 24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1" name="CasellaDiTesto 24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2" name="CasellaDiTesto 24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3" name="CasellaDiTesto 24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4" name="CasellaDiTesto 24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5" name="CasellaDiTesto 24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6" name="CasellaDiTesto 24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7" name="CasellaDiTesto 24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8" name="CasellaDiTesto 24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79" name="CasellaDiTesto 24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0" name="CasellaDiTesto 24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1" name="CasellaDiTesto 24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2" name="CasellaDiTesto 24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3" name="CasellaDiTesto 24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4" name="CasellaDiTesto 24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5" name="CasellaDiTesto 24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6" name="CasellaDiTesto 24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7" name="CasellaDiTesto 24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8" name="CasellaDiTesto 24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89" name="CasellaDiTesto 24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0" name="CasellaDiTesto 24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1" name="CasellaDiTesto 24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2" name="CasellaDiTesto 24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3" name="CasellaDiTesto 24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4" name="CasellaDiTesto 24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5" name="CasellaDiTesto 24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6" name="CasellaDiTesto 24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7" name="CasellaDiTesto 24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8" name="CasellaDiTesto 24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499" name="CasellaDiTesto 24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0" name="CasellaDiTesto 24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1" name="CasellaDiTesto 25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2" name="CasellaDiTesto 25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3" name="CasellaDiTesto 25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4" name="CasellaDiTesto 25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5" name="CasellaDiTesto 25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6" name="CasellaDiTesto 25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7" name="CasellaDiTesto 25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8" name="CasellaDiTesto 25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09" name="CasellaDiTesto 25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0" name="CasellaDiTesto 25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1" name="CasellaDiTesto 25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2" name="CasellaDiTesto 25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3" name="CasellaDiTesto 25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4" name="CasellaDiTesto 25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5" name="CasellaDiTesto 25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6" name="CasellaDiTesto 25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7" name="CasellaDiTesto 25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8" name="CasellaDiTesto 25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19" name="CasellaDiTesto 25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0" name="CasellaDiTesto 25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1" name="CasellaDiTesto 25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2" name="CasellaDiTesto 25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3" name="CasellaDiTesto 25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4" name="CasellaDiTesto 25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5" name="CasellaDiTesto 25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6" name="CasellaDiTesto 25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7" name="CasellaDiTesto 25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8" name="CasellaDiTesto 25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29" name="CasellaDiTesto 25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0" name="CasellaDiTesto 25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1" name="CasellaDiTesto 25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2" name="CasellaDiTesto 25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3" name="CasellaDiTesto 25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4" name="CasellaDiTesto 25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5" name="CasellaDiTesto 25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536" name="CasellaDiTesto 2535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7" name="CasellaDiTesto 25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8" name="CasellaDiTesto 25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39" name="CasellaDiTesto 25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0" name="CasellaDiTesto 25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1" name="CasellaDiTesto 25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2" name="CasellaDiTesto 25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3" name="CasellaDiTesto 25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4" name="CasellaDiTesto 25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5" name="CasellaDiTesto 25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6" name="CasellaDiTesto 25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7" name="CasellaDiTesto 25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8" name="CasellaDiTesto 25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49" name="CasellaDiTesto 25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0" name="CasellaDiTesto 25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1" name="CasellaDiTesto 25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2" name="CasellaDiTesto 25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3" name="CasellaDiTesto 25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4" name="CasellaDiTesto 25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5" name="CasellaDiTesto 25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6" name="CasellaDiTesto 25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7" name="CasellaDiTesto 25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8" name="CasellaDiTesto 25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59" name="CasellaDiTesto 25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0" name="CasellaDiTesto 25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1" name="CasellaDiTesto 25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2" name="CasellaDiTesto 25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3" name="CasellaDiTesto 25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4" name="CasellaDiTesto 25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5" name="CasellaDiTesto 25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6" name="CasellaDiTesto 25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7" name="CasellaDiTesto 25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8" name="CasellaDiTesto 25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69" name="CasellaDiTesto 25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0" name="CasellaDiTesto 25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1" name="CasellaDiTesto 25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2" name="CasellaDiTesto 25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3" name="CasellaDiTesto 25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4" name="CasellaDiTesto 25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5" name="CasellaDiTesto 25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6" name="CasellaDiTesto 25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7" name="CasellaDiTesto 25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8" name="CasellaDiTesto 25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79" name="CasellaDiTesto 25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0" name="CasellaDiTesto 25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1" name="CasellaDiTesto 25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2" name="CasellaDiTesto 25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3" name="CasellaDiTesto 25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4" name="CasellaDiTesto 25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5" name="CasellaDiTesto 25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6" name="CasellaDiTesto 25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7" name="CasellaDiTesto 25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8" name="CasellaDiTesto 25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89" name="CasellaDiTesto 25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0" name="CasellaDiTesto 25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1" name="CasellaDiTesto 25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2" name="CasellaDiTesto 25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3" name="CasellaDiTesto 25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4" name="CasellaDiTesto 25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5" name="CasellaDiTesto 25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6" name="CasellaDiTesto 25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7" name="CasellaDiTesto 25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8" name="CasellaDiTesto 25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599" name="CasellaDiTesto 25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0" name="CasellaDiTesto 25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1" name="CasellaDiTesto 26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2" name="CasellaDiTesto 26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3" name="CasellaDiTesto 26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4" name="CasellaDiTesto 26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5" name="CasellaDiTesto 26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6" name="CasellaDiTesto 26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7" name="CasellaDiTesto 26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8" name="CasellaDiTesto 26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09" name="CasellaDiTesto 26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0" name="CasellaDiTesto 26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1" name="CasellaDiTesto 26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2" name="CasellaDiTesto 26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3" name="CasellaDiTesto 26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4" name="CasellaDiTesto 26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5" name="CasellaDiTesto 26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6" name="CasellaDiTesto 26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7" name="CasellaDiTesto 26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8" name="CasellaDiTesto 26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19" name="CasellaDiTesto 26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0" name="CasellaDiTesto 26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1" name="CasellaDiTesto 26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2" name="CasellaDiTesto 26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3" name="CasellaDiTesto 26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4" name="CasellaDiTesto 26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5" name="CasellaDiTesto 26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6" name="CasellaDiTesto 26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627" name="CasellaDiTesto 2626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8" name="CasellaDiTesto 26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29" name="CasellaDiTesto 26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0" name="CasellaDiTesto 26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1" name="CasellaDiTesto 26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2" name="CasellaDiTesto 26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3" name="CasellaDiTesto 26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4" name="CasellaDiTesto 26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5" name="CasellaDiTesto 26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6" name="CasellaDiTesto 26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7" name="CasellaDiTesto 26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8" name="CasellaDiTesto 26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39" name="CasellaDiTesto 26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0" name="CasellaDiTesto 26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1" name="CasellaDiTesto 26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2" name="CasellaDiTesto 26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3" name="CasellaDiTesto 26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4" name="CasellaDiTesto 26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5" name="CasellaDiTesto 26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6" name="CasellaDiTesto 26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7" name="CasellaDiTesto 26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8" name="CasellaDiTesto 26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49" name="CasellaDiTesto 26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0" name="CasellaDiTesto 26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1" name="CasellaDiTesto 26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2" name="CasellaDiTesto 26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3" name="CasellaDiTesto 26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4" name="CasellaDiTesto 26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5" name="CasellaDiTesto 26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6" name="CasellaDiTesto 26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7" name="CasellaDiTesto 26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8" name="CasellaDiTesto 26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59" name="CasellaDiTesto 26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0" name="CasellaDiTesto 26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1" name="CasellaDiTesto 26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2" name="CasellaDiTesto 26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3" name="CasellaDiTesto 26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4" name="CasellaDiTesto 26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5" name="CasellaDiTesto 26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6" name="CasellaDiTesto 26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7" name="CasellaDiTesto 26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8" name="CasellaDiTesto 26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69" name="CasellaDiTesto 26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0" name="CasellaDiTesto 26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1" name="CasellaDiTesto 26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2" name="CasellaDiTesto 26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3" name="CasellaDiTesto 26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4" name="CasellaDiTesto 26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5" name="CasellaDiTesto 26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6" name="CasellaDiTesto 26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7" name="CasellaDiTesto 26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8" name="CasellaDiTesto 26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79" name="CasellaDiTesto 26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0" name="CasellaDiTesto 26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1" name="CasellaDiTesto 26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2" name="CasellaDiTesto 26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3" name="CasellaDiTesto 26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4" name="CasellaDiTesto 26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5" name="CasellaDiTesto 26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6" name="CasellaDiTesto 26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7" name="CasellaDiTesto 26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8" name="CasellaDiTesto 26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89" name="CasellaDiTesto 26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0" name="CasellaDiTesto 26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1" name="CasellaDiTesto 26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2" name="CasellaDiTesto 26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3" name="CasellaDiTesto 26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4" name="CasellaDiTesto 26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5" name="CasellaDiTesto 26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6" name="CasellaDiTesto 26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7" name="CasellaDiTesto 26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8" name="CasellaDiTesto 26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699" name="CasellaDiTesto 26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0" name="CasellaDiTesto 26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1" name="CasellaDiTesto 27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2" name="CasellaDiTesto 27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3" name="CasellaDiTesto 27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4" name="CasellaDiTesto 27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5" name="CasellaDiTesto 27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6" name="CasellaDiTesto 27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7" name="CasellaDiTesto 27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8" name="CasellaDiTesto 27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09" name="CasellaDiTesto 27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0" name="CasellaDiTesto 27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1" name="CasellaDiTesto 27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2" name="CasellaDiTesto 27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3" name="CasellaDiTesto 27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4" name="CasellaDiTesto 27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5" name="CasellaDiTesto 27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6" name="CasellaDiTesto 27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7" name="CasellaDiTesto 27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718" name="CasellaDiTesto 2717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19" name="CasellaDiTesto 27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0" name="CasellaDiTesto 27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1" name="CasellaDiTesto 27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2" name="CasellaDiTesto 27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3" name="CasellaDiTesto 27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4" name="CasellaDiTesto 27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5" name="CasellaDiTesto 27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6" name="CasellaDiTesto 27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7" name="CasellaDiTesto 27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8" name="CasellaDiTesto 27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29" name="CasellaDiTesto 27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0" name="CasellaDiTesto 27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1" name="CasellaDiTesto 27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2" name="CasellaDiTesto 27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3" name="CasellaDiTesto 27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4" name="CasellaDiTesto 27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5" name="CasellaDiTesto 27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6" name="CasellaDiTesto 27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7" name="CasellaDiTesto 27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8" name="CasellaDiTesto 27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39" name="CasellaDiTesto 27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0" name="CasellaDiTesto 27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1" name="CasellaDiTesto 27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2" name="CasellaDiTesto 27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3" name="CasellaDiTesto 27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4" name="CasellaDiTesto 27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5" name="CasellaDiTesto 27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6" name="CasellaDiTesto 27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7" name="CasellaDiTesto 27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8" name="CasellaDiTesto 27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49" name="CasellaDiTesto 27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0" name="CasellaDiTesto 27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1" name="CasellaDiTesto 27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2" name="CasellaDiTesto 27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3" name="CasellaDiTesto 27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4" name="CasellaDiTesto 27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5" name="CasellaDiTesto 27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6" name="CasellaDiTesto 27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7" name="CasellaDiTesto 27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8" name="CasellaDiTesto 27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59" name="CasellaDiTesto 27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0" name="CasellaDiTesto 27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1" name="CasellaDiTesto 27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2" name="CasellaDiTesto 27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3" name="CasellaDiTesto 27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4" name="CasellaDiTesto 27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5" name="CasellaDiTesto 27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6" name="CasellaDiTesto 27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7" name="CasellaDiTesto 27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8" name="CasellaDiTesto 27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69" name="CasellaDiTesto 27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0" name="CasellaDiTesto 27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1" name="CasellaDiTesto 27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2" name="CasellaDiTesto 27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3" name="CasellaDiTesto 27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4" name="CasellaDiTesto 27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5" name="CasellaDiTesto 27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6" name="CasellaDiTesto 27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7" name="CasellaDiTesto 27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8" name="CasellaDiTesto 27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79" name="CasellaDiTesto 27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0" name="CasellaDiTesto 27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1" name="CasellaDiTesto 27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2" name="CasellaDiTesto 27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3" name="CasellaDiTesto 27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4" name="CasellaDiTesto 27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5" name="CasellaDiTesto 27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6" name="CasellaDiTesto 27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7" name="CasellaDiTesto 27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8" name="CasellaDiTesto 27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89" name="CasellaDiTesto 27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0" name="CasellaDiTesto 27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1" name="CasellaDiTesto 27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2" name="CasellaDiTesto 27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3" name="CasellaDiTesto 27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4" name="CasellaDiTesto 27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5" name="CasellaDiTesto 27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6" name="CasellaDiTesto 27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7" name="CasellaDiTesto 27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8" name="CasellaDiTesto 27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799" name="CasellaDiTesto 27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0" name="CasellaDiTesto 27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1" name="CasellaDiTesto 28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2" name="CasellaDiTesto 28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3" name="CasellaDiTesto 28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4" name="CasellaDiTesto 28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5" name="CasellaDiTesto 28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6" name="CasellaDiTesto 28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7" name="CasellaDiTesto 28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08" name="CasellaDiTesto 28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809" name="CasellaDiTesto 2808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0" name="CasellaDiTesto 28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1" name="CasellaDiTesto 28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2" name="CasellaDiTesto 28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3" name="CasellaDiTesto 28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4" name="CasellaDiTesto 28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5" name="CasellaDiTesto 28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6" name="CasellaDiTesto 28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7" name="CasellaDiTesto 28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8" name="CasellaDiTesto 28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19" name="CasellaDiTesto 28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0" name="CasellaDiTesto 28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1" name="CasellaDiTesto 28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2" name="CasellaDiTesto 28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3" name="CasellaDiTesto 28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4" name="CasellaDiTesto 28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5" name="CasellaDiTesto 28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6" name="CasellaDiTesto 28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7" name="CasellaDiTesto 28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8" name="CasellaDiTesto 28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29" name="CasellaDiTesto 28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0" name="CasellaDiTesto 28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1" name="CasellaDiTesto 28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2" name="CasellaDiTesto 28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3" name="CasellaDiTesto 28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4" name="CasellaDiTesto 28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5" name="CasellaDiTesto 28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6" name="CasellaDiTesto 28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7" name="CasellaDiTesto 28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8" name="CasellaDiTesto 28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39" name="CasellaDiTesto 28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0" name="CasellaDiTesto 28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1" name="CasellaDiTesto 28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2" name="CasellaDiTesto 28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3" name="CasellaDiTesto 28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4" name="CasellaDiTesto 28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5" name="CasellaDiTesto 28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6" name="CasellaDiTesto 28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7" name="CasellaDiTesto 28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8" name="CasellaDiTesto 28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49" name="CasellaDiTesto 28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0" name="CasellaDiTesto 28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1" name="CasellaDiTesto 28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2" name="CasellaDiTesto 28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3" name="CasellaDiTesto 28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4" name="CasellaDiTesto 28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5" name="CasellaDiTesto 28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6" name="CasellaDiTesto 28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7" name="CasellaDiTesto 28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8" name="CasellaDiTesto 28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59" name="CasellaDiTesto 28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0" name="CasellaDiTesto 28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1" name="CasellaDiTesto 28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2" name="CasellaDiTesto 28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3" name="CasellaDiTesto 28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4" name="CasellaDiTesto 28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5" name="CasellaDiTesto 28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6" name="CasellaDiTesto 28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7" name="CasellaDiTesto 28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8" name="CasellaDiTesto 28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69" name="CasellaDiTesto 28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0" name="CasellaDiTesto 28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1" name="CasellaDiTesto 28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2" name="CasellaDiTesto 28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3" name="CasellaDiTesto 28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4" name="CasellaDiTesto 28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5" name="CasellaDiTesto 28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6" name="CasellaDiTesto 28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7" name="CasellaDiTesto 28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8" name="CasellaDiTesto 28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79" name="CasellaDiTesto 28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0" name="CasellaDiTesto 28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1" name="CasellaDiTesto 28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2" name="CasellaDiTesto 28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3" name="CasellaDiTesto 28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4" name="CasellaDiTesto 28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5" name="CasellaDiTesto 28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6" name="CasellaDiTesto 28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7" name="CasellaDiTesto 28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8" name="CasellaDiTesto 28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89" name="CasellaDiTesto 28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0" name="CasellaDiTesto 28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1" name="CasellaDiTesto 28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2" name="CasellaDiTesto 28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3" name="CasellaDiTesto 28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4" name="CasellaDiTesto 28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5" name="CasellaDiTesto 28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6" name="CasellaDiTesto 28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7" name="CasellaDiTesto 28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8" name="CasellaDiTesto 28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899" name="CasellaDiTesto 28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900" name="CasellaDiTesto 2899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1" name="CasellaDiTesto 29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2" name="CasellaDiTesto 29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3" name="CasellaDiTesto 29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4" name="CasellaDiTesto 29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5" name="CasellaDiTesto 29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6" name="CasellaDiTesto 29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7" name="CasellaDiTesto 29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8" name="CasellaDiTesto 29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09" name="CasellaDiTesto 29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0" name="CasellaDiTesto 29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1" name="CasellaDiTesto 29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2" name="CasellaDiTesto 29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3" name="CasellaDiTesto 29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4" name="CasellaDiTesto 29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5" name="CasellaDiTesto 29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6" name="CasellaDiTesto 29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7" name="CasellaDiTesto 29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8" name="CasellaDiTesto 29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19" name="CasellaDiTesto 29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0" name="CasellaDiTesto 29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1" name="CasellaDiTesto 29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2" name="CasellaDiTesto 29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3" name="CasellaDiTesto 29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4" name="CasellaDiTesto 29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5" name="CasellaDiTesto 29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6" name="CasellaDiTesto 29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7" name="CasellaDiTesto 29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8" name="CasellaDiTesto 29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29" name="CasellaDiTesto 29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0" name="CasellaDiTesto 29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1" name="CasellaDiTesto 29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2" name="CasellaDiTesto 29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3" name="CasellaDiTesto 29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4" name="CasellaDiTesto 29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5" name="CasellaDiTesto 29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6" name="CasellaDiTesto 29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7" name="CasellaDiTesto 29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8" name="CasellaDiTesto 29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39" name="CasellaDiTesto 29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0" name="CasellaDiTesto 29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1" name="CasellaDiTesto 29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2" name="CasellaDiTesto 29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3" name="CasellaDiTesto 29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4" name="CasellaDiTesto 29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5" name="CasellaDiTesto 29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6" name="CasellaDiTesto 29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7" name="CasellaDiTesto 29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8" name="CasellaDiTesto 29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49" name="CasellaDiTesto 29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0" name="CasellaDiTesto 29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1" name="CasellaDiTesto 29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2" name="CasellaDiTesto 29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3" name="CasellaDiTesto 29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4" name="CasellaDiTesto 29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5" name="CasellaDiTesto 29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6" name="CasellaDiTesto 29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7" name="CasellaDiTesto 29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8" name="CasellaDiTesto 29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59" name="CasellaDiTesto 29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0" name="CasellaDiTesto 29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1" name="CasellaDiTesto 29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2" name="CasellaDiTesto 29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3" name="CasellaDiTesto 29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4" name="CasellaDiTesto 29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5" name="CasellaDiTesto 29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6" name="CasellaDiTesto 29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7" name="CasellaDiTesto 29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8" name="CasellaDiTesto 29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69" name="CasellaDiTesto 29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0" name="CasellaDiTesto 29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1" name="CasellaDiTesto 29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2" name="CasellaDiTesto 29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3" name="CasellaDiTesto 29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4" name="CasellaDiTesto 29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5" name="CasellaDiTesto 29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6" name="CasellaDiTesto 29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7" name="CasellaDiTesto 29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8" name="CasellaDiTesto 29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79" name="CasellaDiTesto 29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0" name="CasellaDiTesto 29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1" name="CasellaDiTesto 29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2" name="CasellaDiTesto 298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3" name="CasellaDiTesto 29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4" name="CasellaDiTesto 29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5" name="CasellaDiTesto 29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6" name="CasellaDiTesto 29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7" name="CasellaDiTesto 29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8" name="CasellaDiTesto 29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89" name="CasellaDiTesto 29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0" name="CasellaDiTesto 29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2991" name="CasellaDiTesto 2990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2" name="CasellaDiTesto 29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3" name="CasellaDiTesto 29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4" name="CasellaDiTesto 29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5" name="CasellaDiTesto 29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6" name="CasellaDiTesto 29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7" name="CasellaDiTesto 29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8" name="CasellaDiTesto 29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2999" name="CasellaDiTesto 29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0" name="CasellaDiTesto 29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1" name="CasellaDiTesto 30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2" name="CasellaDiTesto 30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3" name="CasellaDiTesto 30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4" name="CasellaDiTesto 30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5" name="CasellaDiTesto 30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6" name="CasellaDiTesto 30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7" name="CasellaDiTesto 30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8" name="CasellaDiTesto 30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09" name="CasellaDiTesto 30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0" name="CasellaDiTesto 30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1" name="CasellaDiTesto 30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2" name="CasellaDiTesto 30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3" name="CasellaDiTesto 30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4" name="CasellaDiTesto 30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5" name="CasellaDiTesto 30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6" name="CasellaDiTesto 30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7" name="CasellaDiTesto 30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8" name="CasellaDiTesto 30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19" name="CasellaDiTesto 30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0" name="CasellaDiTesto 30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1" name="CasellaDiTesto 30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2" name="CasellaDiTesto 30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3" name="CasellaDiTesto 30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4" name="CasellaDiTesto 30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5" name="CasellaDiTesto 30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6" name="CasellaDiTesto 30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7" name="CasellaDiTesto 30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8" name="CasellaDiTesto 30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29" name="CasellaDiTesto 30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0" name="CasellaDiTesto 30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1" name="CasellaDiTesto 30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2" name="CasellaDiTesto 30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3" name="CasellaDiTesto 30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4" name="CasellaDiTesto 30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5" name="CasellaDiTesto 30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6" name="CasellaDiTesto 303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7" name="CasellaDiTesto 303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8" name="CasellaDiTesto 303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39" name="CasellaDiTesto 303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0" name="CasellaDiTesto 303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1" name="CasellaDiTesto 304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2" name="CasellaDiTesto 304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3" name="CasellaDiTesto 304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4" name="CasellaDiTesto 304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5" name="CasellaDiTesto 304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6" name="CasellaDiTesto 304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7" name="CasellaDiTesto 304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8" name="CasellaDiTesto 304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49" name="CasellaDiTesto 304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0" name="CasellaDiTesto 304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1" name="CasellaDiTesto 305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2" name="CasellaDiTesto 305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3" name="CasellaDiTesto 305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4" name="CasellaDiTesto 305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5" name="CasellaDiTesto 305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6" name="CasellaDiTesto 305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7" name="CasellaDiTesto 305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8" name="CasellaDiTesto 305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59" name="CasellaDiTesto 305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0" name="CasellaDiTesto 305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1" name="CasellaDiTesto 306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2" name="CasellaDiTesto 306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3" name="CasellaDiTesto 306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4" name="CasellaDiTesto 306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5" name="CasellaDiTesto 306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6" name="CasellaDiTesto 306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7" name="CasellaDiTesto 306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8" name="CasellaDiTesto 306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69" name="CasellaDiTesto 306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0" name="CasellaDiTesto 306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1" name="CasellaDiTesto 307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2" name="CasellaDiTesto 307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3" name="CasellaDiTesto 307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4" name="CasellaDiTesto 307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5" name="CasellaDiTesto 307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6" name="CasellaDiTesto 307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7" name="CasellaDiTesto 307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8" name="CasellaDiTesto 307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79" name="CasellaDiTesto 307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0" name="CasellaDiTesto 307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1" name="CasellaDiTesto 308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3082" name="CasellaDiTesto 3081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3" name="CasellaDiTesto 308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4" name="CasellaDiTesto 308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5" name="CasellaDiTesto 308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6" name="CasellaDiTesto 308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7" name="CasellaDiTesto 308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8" name="CasellaDiTesto 308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89" name="CasellaDiTesto 308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0" name="CasellaDiTesto 308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1" name="CasellaDiTesto 309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2" name="CasellaDiTesto 309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3" name="CasellaDiTesto 309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4" name="CasellaDiTesto 309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5" name="CasellaDiTesto 309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6" name="CasellaDiTesto 309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7" name="CasellaDiTesto 309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8" name="CasellaDiTesto 309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099" name="CasellaDiTesto 309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0" name="CasellaDiTesto 309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1" name="CasellaDiTesto 310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2" name="CasellaDiTesto 310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3" name="CasellaDiTesto 310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4" name="CasellaDiTesto 310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5" name="CasellaDiTesto 310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6" name="CasellaDiTesto 310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7" name="CasellaDiTesto 310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8" name="CasellaDiTesto 310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09" name="CasellaDiTesto 310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0" name="CasellaDiTesto 310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1" name="CasellaDiTesto 311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2" name="CasellaDiTesto 311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3" name="CasellaDiTesto 311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4" name="CasellaDiTesto 311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5" name="CasellaDiTesto 311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6" name="CasellaDiTesto 311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7" name="CasellaDiTesto 311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8" name="CasellaDiTesto 311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19" name="CasellaDiTesto 311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0" name="CasellaDiTesto 311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1" name="CasellaDiTesto 312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2" name="CasellaDiTesto 312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3" name="CasellaDiTesto 312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4" name="CasellaDiTesto 312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5" name="CasellaDiTesto 312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6" name="CasellaDiTesto 3125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7" name="CasellaDiTesto 3126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8" name="CasellaDiTesto 3127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29" name="CasellaDiTesto 3128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30" name="CasellaDiTesto 3129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31" name="CasellaDiTesto 3130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32" name="CasellaDiTesto 3131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33" name="CasellaDiTesto 3132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34" name="CasellaDiTesto 3133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3135" name="CasellaDiTesto 3134"/>
        <xdr:cNvSpPr txBox="1"/>
      </xdr:nvSpPr>
      <xdr:spPr>
        <a:xfrm>
          <a:off x="142875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36" name="CasellaDiTesto 313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37" name="CasellaDiTesto 313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38" name="CasellaDiTesto 313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39" name="CasellaDiTesto 313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0" name="CasellaDiTesto 313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1" name="CasellaDiTesto 314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2" name="CasellaDiTesto 314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3" name="CasellaDiTesto 314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4" name="CasellaDiTesto 314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5" name="CasellaDiTesto 314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6" name="CasellaDiTesto 314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7" name="CasellaDiTesto 314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8" name="CasellaDiTesto 314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49" name="CasellaDiTesto 314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0" name="CasellaDiTesto 314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1" name="CasellaDiTesto 315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2" name="CasellaDiTesto 315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3" name="CasellaDiTesto 315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4" name="CasellaDiTesto 315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5" name="CasellaDiTesto 315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6" name="CasellaDiTesto 315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7" name="CasellaDiTesto 315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8" name="CasellaDiTesto 315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59" name="CasellaDiTesto 315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0" name="CasellaDiTesto 315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1" name="CasellaDiTesto 316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2" name="CasellaDiTesto 316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3" name="CasellaDiTesto 316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4" name="CasellaDiTesto 316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5" name="CasellaDiTesto 316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6" name="CasellaDiTesto 316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7" name="CasellaDiTesto 316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8" name="CasellaDiTesto 316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69" name="CasellaDiTesto 316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0" name="CasellaDiTesto 316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1" name="CasellaDiTesto 317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2" name="CasellaDiTesto 317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3173" name="CasellaDiTesto 3172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4" name="CasellaDiTesto 317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5" name="CasellaDiTesto 317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6" name="CasellaDiTesto 317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7" name="CasellaDiTesto 317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8" name="CasellaDiTesto 317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79" name="CasellaDiTesto 317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0" name="CasellaDiTesto 317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1" name="CasellaDiTesto 318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2" name="CasellaDiTesto 318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3" name="CasellaDiTesto 318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4" name="CasellaDiTesto 318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5" name="CasellaDiTesto 318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6" name="CasellaDiTesto 318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7" name="CasellaDiTesto 318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8" name="CasellaDiTesto 318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89" name="CasellaDiTesto 318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0" name="CasellaDiTesto 318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1" name="CasellaDiTesto 319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2" name="CasellaDiTesto 319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3" name="CasellaDiTesto 319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4" name="CasellaDiTesto 319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5" name="CasellaDiTesto 319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6" name="CasellaDiTesto 319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7" name="CasellaDiTesto 319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8" name="CasellaDiTesto 319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199" name="CasellaDiTesto 319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0" name="CasellaDiTesto 319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1" name="CasellaDiTesto 320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2" name="CasellaDiTesto 320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3" name="CasellaDiTesto 320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4" name="CasellaDiTesto 320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5" name="CasellaDiTesto 320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6" name="CasellaDiTesto 320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7" name="CasellaDiTesto 320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8" name="CasellaDiTesto 320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09" name="CasellaDiTesto 320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0" name="CasellaDiTesto 320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1" name="CasellaDiTesto 321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2" name="CasellaDiTesto 321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3" name="CasellaDiTesto 321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4" name="CasellaDiTesto 321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5" name="CasellaDiTesto 321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6" name="CasellaDiTesto 321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7" name="CasellaDiTesto 321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8" name="CasellaDiTesto 321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19" name="CasellaDiTesto 321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0" name="CasellaDiTesto 321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1" name="CasellaDiTesto 322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2" name="CasellaDiTesto 322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3" name="CasellaDiTesto 322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4" name="CasellaDiTesto 322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5" name="CasellaDiTesto 322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6" name="CasellaDiTesto 322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7" name="CasellaDiTesto 322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8" name="CasellaDiTesto 322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29" name="CasellaDiTesto 322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0" name="CasellaDiTesto 322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1" name="CasellaDiTesto 323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2" name="CasellaDiTesto 323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3" name="CasellaDiTesto 323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4" name="CasellaDiTesto 323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5" name="CasellaDiTesto 323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6" name="CasellaDiTesto 323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7" name="CasellaDiTesto 323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8" name="CasellaDiTesto 323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39" name="CasellaDiTesto 323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0" name="CasellaDiTesto 323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1" name="CasellaDiTesto 324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2" name="CasellaDiTesto 324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3" name="CasellaDiTesto 324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4" name="CasellaDiTesto 324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5" name="CasellaDiTesto 324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6" name="CasellaDiTesto 324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7" name="CasellaDiTesto 324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8" name="CasellaDiTesto 324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49" name="CasellaDiTesto 324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0" name="CasellaDiTesto 324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1" name="CasellaDiTesto 325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2" name="CasellaDiTesto 325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3" name="CasellaDiTesto 325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4" name="CasellaDiTesto 325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5" name="CasellaDiTesto 325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6" name="CasellaDiTesto 325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7" name="CasellaDiTesto 325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8" name="CasellaDiTesto 325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59" name="CasellaDiTesto 325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0" name="CasellaDiTesto 325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1" name="CasellaDiTesto 326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2" name="CasellaDiTesto 326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3" name="CasellaDiTesto 326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762000</xdr:colOff>
      <xdr:row>116</xdr:row>
      <xdr:rowOff>0</xdr:rowOff>
    </xdr:from>
    <xdr:ext cx="184731" cy="264560"/>
    <xdr:sp macro="" textlink="">
      <xdr:nvSpPr>
        <xdr:cNvPr id="3264" name="CasellaDiTesto 3263"/>
        <xdr:cNvSpPr txBox="1"/>
      </xdr:nvSpPr>
      <xdr:spPr>
        <a:xfrm>
          <a:off x="3086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5" name="CasellaDiTesto 326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6" name="CasellaDiTesto 326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7" name="CasellaDiTesto 326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8" name="CasellaDiTesto 326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69" name="CasellaDiTesto 326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0" name="CasellaDiTesto 326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1" name="CasellaDiTesto 327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2" name="CasellaDiTesto 327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3" name="CasellaDiTesto 327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4" name="CasellaDiTesto 327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5" name="CasellaDiTesto 327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6" name="CasellaDiTesto 327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7" name="CasellaDiTesto 327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8" name="CasellaDiTesto 327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79" name="CasellaDiTesto 327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0" name="CasellaDiTesto 327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1" name="CasellaDiTesto 328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2" name="CasellaDiTesto 328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3" name="CasellaDiTesto 328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4" name="CasellaDiTesto 328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5" name="CasellaDiTesto 328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6" name="CasellaDiTesto 328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7" name="CasellaDiTesto 328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8" name="CasellaDiTesto 328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89" name="CasellaDiTesto 328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0" name="CasellaDiTesto 328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1" name="CasellaDiTesto 329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2" name="CasellaDiTesto 329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3" name="CasellaDiTesto 329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4" name="CasellaDiTesto 329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5" name="CasellaDiTesto 329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6" name="CasellaDiTesto 329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7" name="CasellaDiTesto 329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8" name="CasellaDiTesto 329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299" name="CasellaDiTesto 329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0" name="CasellaDiTesto 329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1" name="CasellaDiTesto 330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2" name="CasellaDiTesto 330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3" name="CasellaDiTesto 330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4" name="CasellaDiTesto 330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5" name="CasellaDiTesto 330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6" name="CasellaDiTesto 330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7" name="CasellaDiTesto 330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8" name="CasellaDiTesto 3307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09" name="CasellaDiTesto 3308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0" name="CasellaDiTesto 3309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1" name="CasellaDiTesto 3310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2" name="CasellaDiTesto 3311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3" name="CasellaDiTesto 3312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4" name="CasellaDiTesto 3313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5" name="CasellaDiTesto 3314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6" name="CasellaDiTesto 3315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184731" cy="264560"/>
    <xdr:sp macro="" textlink="">
      <xdr:nvSpPr>
        <xdr:cNvPr id="3317" name="CasellaDiTesto 3316"/>
        <xdr:cNvSpPr txBox="1"/>
      </xdr:nvSpPr>
      <xdr:spPr>
        <a:xfrm>
          <a:off x="1181100" y="2654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>
      <selection sqref="A1:K1"/>
    </sheetView>
  </sheetViews>
  <sheetFormatPr defaultRowHeight="15"/>
  <cols>
    <col min="1" max="1" width="5.7109375" bestFit="1" customWidth="1"/>
    <col min="2" max="2" width="12" customWidth="1"/>
    <col min="3" max="3" width="3.7109375" customWidth="1"/>
    <col min="4" max="4" width="9.5703125" customWidth="1"/>
    <col min="5" max="5" width="7.7109375" customWidth="1"/>
    <col min="6" max="6" width="9.140625" hidden="1" customWidth="1"/>
    <col min="7" max="7" width="7.5703125" customWidth="1"/>
    <col min="8" max="8" width="6.5703125" customWidth="1"/>
    <col min="9" max="9" width="6.85546875" customWidth="1"/>
    <col min="10" max="10" width="6.28515625" customWidth="1"/>
    <col min="11" max="11" width="18" customWidth="1"/>
  </cols>
  <sheetData>
    <row r="1" spans="1:20" ht="62.25" customHeight="1" thickBot="1">
      <c r="A1" s="253" t="s">
        <v>98</v>
      </c>
      <c r="B1" s="254"/>
      <c r="C1" s="254"/>
      <c r="D1" s="254"/>
      <c r="E1" s="254"/>
      <c r="F1" s="254"/>
      <c r="G1" s="254"/>
      <c r="H1" s="255"/>
      <c r="I1" s="255"/>
      <c r="J1" s="255"/>
      <c r="K1" s="256"/>
    </row>
    <row r="2" spans="1:20" ht="15.75" thickBot="1">
      <c r="A2" s="237"/>
      <c r="B2" s="237"/>
      <c r="C2" s="237"/>
      <c r="D2" s="237"/>
      <c r="E2" s="237"/>
      <c r="F2" s="237"/>
      <c r="G2" s="237"/>
      <c r="H2" s="257"/>
      <c r="I2" s="257"/>
      <c r="J2" s="257"/>
      <c r="K2" s="257"/>
    </row>
    <row r="3" spans="1:20" ht="110.25" customHeight="1" thickBot="1">
      <c r="A3" s="285" t="s">
        <v>94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  <c r="M3" t="s">
        <v>68</v>
      </c>
      <c r="T3" t="s">
        <v>68</v>
      </c>
    </row>
    <row r="4" spans="1:20" ht="30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20" ht="15" customHeight="1">
      <c r="A5" s="273" t="s">
        <v>0</v>
      </c>
      <c r="B5" s="274"/>
      <c r="C5" s="274"/>
      <c r="D5" s="274"/>
      <c r="E5" s="274"/>
      <c r="F5" s="274"/>
      <c r="G5" s="261" t="s">
        <v>11</v>
      </c>
      <c r="H5" s="261"/>
      <c r="I5" s="261" t="s">
        <v>1</v>
      </c>
      <c r="J5" s="261"/>
      <c r="K5" s="263" t="s">
        <v>2</v>
      </c>
    </row>
    <row r="6" spans="1:20">
      <c r="A6" s="275"/>
      <c r="B6" s="276"/>
      <c r="C6" s="276"/>
      <c r="D6" s="276"/>
      <c r="E6" s="276"/>
      <c r="F6" s="276"/>
      <c r="G6" s="262"/>
      <c r="H6" s="262"/>
      <c r="I6" s="262"/>
      <c r="J6" s="262"/>
      <c r="K6" s="264"/>
    </row>
    <row r="7" spans="1:20" ht="20.100000000000001" customHeight="1" thickBot="1">
      <c r="A7" s="277"/>
      <c r="B7" s="278"/>
      <c r="C7" s="278"/>
      <c r="D7" s="278"/>
      <c r="E7" s="278"/>
      <c r="F7" s="278"/>
      <c r="G7" s="1" t="s">
        <v>3</v>
      </c>
      <c r="H7" s="1" t="s">
        <v>4</v>
      </c>
      <c r="I7" s="1" t="s">
        <v>3</v>
      </c>
      <c r="J7" s="1" t="s">
        <v>4</v>
      </c>
      <c r="K7" s="265"/>
    </row>
    <row r="8" spans="1:20" ht="20.100000000000001" customHeight="1">
      <c r="A8" s="266" t="s">
        <v>51</v>
      </c>
      <c r="B8" s="267"/>
      <c r="C8" s="267"/>
      <c r="D8" s="267"/>
      <c r="E8" s="267"/>
      <c r="F8" s="267"/>
      <c r="G8" s="7">
        <v>18</v>
      </c>
      <c r="H8" s="7">
        <v>1</v>
      </c>
      <c r="I8" s="7">
        <v>18</v>
      </c>
      <c r="J8" s="7">
        <v>0</v>
      </c>
      <c r="K8" s="8">
        <f>(I8+3+J8/12)*2%</f>
        <v>0.42</v>
      </c>
    </row>
    <row r="9" spans="1:20" ht="20.100000000000001" customHeight="1">
      <c r="A9" s="268" t="s">
        <v>50</v>
      </c>
      <c r="B9" s="269"/>
      <c r="C9" s="269"/>
      <c r="D9" s="269"/>
      <c r="E9" s="269"/>
      <c r="F9" s="269"/>
      <c r="G9" s="2">
        <v>19</v>
      </c>
      <c r="H9" s="2">
        <v>0</v>
      </c>
      <c r="I9" s="2"/>
      <c r="J9" s="2"/>
      <c r="K9" s="3">
        <f>G9*2%</f>
        <v>0.38</v>
      </c>
    </row>
    <row r="10" spans="1:20" ht="20.100000000000001" customHeight="1">
      <c r="A10" s="270" t="s">
        <v>5</v>
      </c>
      <c r="B10" s="271"/>
      <c r="C10" s="271"/>
      <c r="D10" s="271"/>
      <c r="E10" s="271"/>
      <c r="F10" s="271"/>
      <c r="G10" s="2">
        <v>37</v>
      </c>
      <c r="H10" s="2">
        <v>1</v>
      </c>
      <c r="I10" s="2"/>
      <c r="J10" s="2"/>
      <c r="K10" s="3">
        <f>K8+K9</f>
        <v>0.8</v>
      </c>
    </row>
    <row r="11" spans="1:20" ht="20.100000000000001" customHeight="1">
      <c r="A11" s="268" t="s">
        <v>52</v>
      </c>
      <c r="B11" s="269"/>
      <c r="C11" s="269"/>
      <c r="D11" s="269"/>
      <c r="E11" s="269"/>
      <c r="F11" s="269"/>
      <c r="G11" s="2">
        <v>5</v>
      </c>
      <c r="H11" s="2">
        <v>9</v>
      </c>
      <c r="I11" s="6"/>
      <c r="J11" s="6"/>
      <c r="K11" s="3"/>
    </row>
    <row r="12" spans="1:20" ht="20.100000000000001" customHeight="1" thickBot="1">
      <c r="A12" s="283" t="s">
        <v>6</v>
      </c>
      <c r="B12" s="284"/>
      <c r="C12" s="284"/>
      <c r="D12" s="284"/>
      <c r="E12" s="284"/>
      <c r="F12" s="284"/>
      <c r="G12" s="4">
        <v>42</v>
      </c>
      <c r="H12" s="4">
        <v>10</v>
      </c>
      <c r="I12" s="4"/>
      <c r="J12" s="1"/>
      <c r="K12" s="5"/>
    </row>
    <row r="13" spans="1:20" ht="16.5" customHeight="1" thickBot="1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20" ht="24" customHeight="1" thickBot="1">
      <c r="A14" s="258" t="s">
        <v>7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60"/>
    </row>
    <row r="15" spans="1:20" ht="20.25" customHeight="1" thickBot="1">
      <c r="A15" s="25" t="s">
        <v>8</v>
      </c>
      <c r="B15" s="279">
        <v>6804.49</v>
      </c>
      <c r="C15" s="279"/>
      <c r="D15" s="64" t="s">
        <v>9</v>
      </c>
      <c r="E15" s="89">
        <v>745.76</v>
      </c>
      <c r="F15" s="89"/>
      <c r="G15" s="280" t="s">
        <v>10</v>
      </c>
      <c r="H15" s="280"/>
      <c r="I15" s="280"/>
      <c r="J15" s="281">
        <v>573.16999999999996</v>
      </c>
      <c r="K15" s="282"/>
    </row>
    <row r="16" spans="1:20" ht="75.75" customHeight="1" thickBot="1">
      <c r="A16" s="249" t="s">
        <v>45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</row>
    <row r="17" spans="1:12" ht="20.100000000000001" customHeight="1" thickBot="1">
      <c r="A17" s="252" t="s">
        <v>12</v>
      </c>
      <c r="B17" s="250"/>
      <c r="C17" s="250"/>
      <c r="D17" s="250"/>
      <c r="E17" s="250"/>
      <c r="F17" s="12"/>
      <c r="G17" s="250" t="s">
        <v>20</v>
      </c>
      <c r="H17" s="250"/>
      <c r="I17" s="250"/>
      <c r="J17" s="250" t="s">
        <v>21</v>
      </c>
      <c r="K17" s="251"/>
    </row>
    <row r="18" spans="1:12" ht="20.100000000000001" customHeight="1">
      <c r="A18" s="303" t="s">
        <v>13</v>
      </c>
      <c r="B18" s="304"/>
      <c r="C18" s="304"/>
      <c r="D18" s="304"/>
      <c r="E18" s="304"/>
      <c r="F18" s="15"/>
      <c r="G18" s="288">
        <v>6804.49</v>
      </c>
      <c r="H18" s="288"/>
      <c r="I18" s="288"/>
      <c r="J18" s="288">
        <f>G18*12</f>
        <v>81653.88</v>
      </c>
      <c r="K18" s="289"/>
    </row>
    <row r="19" spans="1:12" ht="20.100000000000001" customHeight="1">
      <c r="A19" s="305" t="s">
        <v>14</v>
      </c>
      <c r="B19" s="306"/>
      <c r="C19" s="306"/>
      <c r="D19" s="306"/>
      <c r="E19" s="306"/>
      <c r="F19" s="13"/>
      <c r="G19" s="290">
        <f>(B15-J15)/10</f>
        <v>623.13199999999995</v>
      </c>
      <c r="H19" s="290"/>
      <c r="I19" s="290"/>
      <c r="J19" s="290">
        <f t="shared" ref="J19:J25" si="0">G19*12</f>
        <v>7477.5839999999989</v>
      </c>
      <c r="K19" s="291"/>
    </row>
    <row r="20" spans="1:12" ht="20.100000000000001" customHeight="1">
      <c r="A20" s="305" t="s">
        <v>15</v>
      </c>
      <c r="B20" s="306"/>
      <c r="C20" s="306"/>
      <c r="D20" s="306"/>
      <c r="E20" s="306"/>
      <c r="F20" s="13"/>
      <c r="G20" s="290" t="s">
        <v>22</v>
      </c>
      <c r="H20" s="290"/>
      <c r="I20" s="290"/>
      <c r="J20" s="290" t="s">
        <v>22</v>
      </c>
      <c r="K20" s="291"/>
    </row>
    <row r="21" spans="1:12" ht="20.100000000000001" customHeight="1">
      <c r="A21" s="296" t="s">
        <v>16</v>
      </c>
      <c r="B21" s="297"/>
      <c r="C21" s="297"/>
      <c r="D21" s="297"/>
      <c r="E21" s="297"/>
      <c r="F21" s="13"/>
      <c r="G21" s="290">
        <f>G18+G19</f>
        <v>7427.6219999999994</v>
      </c>
      <c r="H21" s="290"/>
      <c r="I21" s="290"/>
      <c r="J21" s="290">
        <f t="shared" si="0"/>
        <v>89131.463999999993</v>
      </c>
      <c r="K21" s="291"/>
    </row>
    <row r="22" spans="1:12" ht="20.100000000000001" customHeight="1">
      <c r="A22" s="296" t="s">
        <v>17</v>
      </c>
      <c r="B22" s="297"/>
      <c r="C22" s="297"/>
      <c r="D22" s="297"/>
      <c r="E22" s="297"/>
      <c r="F22" s="13"/>
      <c r="G22" s="290">
        <f>G21*18%</f>
        <v>1336.9719599999999</v>
      </c>
      <c r="H22" s="290"/>
      <c r="I22" s="290"/>
      <c r="J22" s="290">
        <f t="shared" si="0"/>
        <v>16043.663519999998</v>
      </c>
      <c r="K22" s="291"/>
      <c r="L22" t="s">
        <v>32</v>
      </c>
    </row>
    <row r="23" spans="1:12" ht="20.100000000000001" customHeight="1">
      <c r="A23" s="296" t="s">
        <v>18</v>
      </c>
      <c r="B23" s="297"/>
      <c r="C23" s="297"/>
      <c r="D23" s="297"/>
      <c r="E23" s="297"/>
      <c r="F23" s="13"/>
      <c r="G23" s="290">
        <v>745.76</v>
      </c>
      <c r="H23" s="290"/>
      <c r="I23" s="290"/>
      <c r="J23" s="290">
        <f t="shared" si="0"/>
        <v>8949.119999999999</v>
      </c>
      <c r="K23" s="291"/>
    </row>
    <row r="24" spans="1:12" ht="20.100000000000001" customHeight="1" thickBot="1">
      <c r="A24" s="298" t="s">
        <v>19</v>
      </c>
      <c r="B24" s="299"/>
      <c r="C24" s="299"/>
      <c r="D24" s="299"/>
      <c r="E24" s="299"/>
      <c r="F24" s="16"/>
      <c r="G24" s="292">
        <f>SUM(G21:I23)</f>
        <v>9510.3539599999986</v>
      </c>
      <c r="H24" s="292"/>
      <c r="I24" s="292"/>
      <c r="J24" s="292">
        <f t="shared" si="0"/>
        <v>114124.24751999998</v>
      </c>
      <c r="K24" s="293"/>
    </row>
    <row r="25" spans="1:12" ht="20.100000000000001" customHeight="1" thickBot="1">
      <c r="A25" s="300" t="s">
        <v>23</v>
      </c>
      <c r="B25" s="301"/>
      <c r="C25" s="301"/>
      <c r="D25" s="301"/>
      <c r="E25" s="301"/>
      <c r="F25" s="12"/>
      <c r="G25" s="302">
        <f>G24*K8</f>
        <v>3994.3486631999995</v>
      </c>
      <c r="H25" s="302"/>
      <c r="I25" s="302"/>
      <c r="J25" s="294">
        <f t="shared" si="0"/>
        <v>47932.183958399997</v>
      </c>
      <c r="K25" s="295"/>
    </row>
    <row r="26" spans="1:12" ht="15.75" thickBo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</row>
    <row r="27" spans="1:12" ht="41.25" customHeight="1" thickBot="1">
      <c r="A27" s="311" t="s">
        <v>46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3"/>
    </row>
    <row r="28" spans="1:12" ht="28.5" customHeight="1" thickBot="1">
      <c r="A28" s="314" t="s">
        <v>25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6"/>
    </row>
    <row r="29" spans="1:12" ht="30.75" customHeight="1" thickBot="1">
      <c r="A29" s="317" t="s">
        <v>26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9"/>
    </row>
    <row r="30" spans="1:12" ht="37.5" customHeight="1" thickBot="1">
      <c r="A30" s="25" t="s">
        <v>27</v>
      </c>
      <c r="B30" s="320" t="s">
        <v>31</v>
      </c>
      <c r="C30" s="320"/>
      <c r="D30" s="37" t="s">
        <v>28</v>
      </c>
      <c r="E30" s="323" t="s">
        <v>29</v>
      </c>
      <c r="F30" s="323"/>
      <c r="G30" s="323"/>
      <c r="H30" s="320" t="s">
        <v>30</v>
      </c>
      <c r="I30" s="320"/>
      <c r="J30" s="321" t="s">
        <v>95</v>
      </c>
      <c r="K30" s="322"/>
    </row>
    <row r="31" spans="1:12" ht="20.100000000000001" customHeight="1">
      <c r="A31" s="35">
        <v>2007</v>
      </c>
      <c r="B31" s="307">
        <f>(30419+76764)/14*13</f>
        <v>99527.071428571435</v>
      </c>
      <c r="C31" s="307"/>
      <c r="D31" s="36">
        <v>90</v>
      </c>
      <c r="E31" s="288">
        <f>B31/360*D31</f>
        <v>24881.767857142859</v>
      </c>
      <c r="F31" s="288"/>
      <c r="G31" s="288"/>
      <c r="H31" s="308">
        <v>1.2339</v>
      </c>
      <c r="I31" s="308"/>
      <c r="J31" s="288">
        <f>E31*H31</f>
        <v>30701.613358928575</v>
      </c>
      <c r="K31" s="289"/>
    </row>
    <row r="32" spans="1:12" ht="20.100000000000001" customHeight="1">
      <c r="A32" s="33">
        <v>2008</v>
      </c>
      <c r="B32" s="309">
        <f>107974/14*13</f>
        <v>100261.57142857143</v>
      </c>
      <c r="C32" s="309"/>
      <c r="D32" s="14">
        <v>360</v>
      </c>
      <c r="E32" s="290">
        <f t="shared" ref="E32:E41" si="1">B32/360*D32</f>
        <v>100261.57142857142</v>
      </c>
      <c r="F32" s="290"/>
      <c r="G32" s="290"/>
      <c r="H32" s="310">
        <v>1.1848000000000001</v>
      </c>
      <c r="I32" s="310"/>
      <c r="J32" s="290">
        <f t="shared" ref="J32:J41" si="2">E32*H32</f>
        <v>118789.90982857143</v>
      </c>
      <c r="K32" s="291"/>
    </row>
    <row r="33" spans="1:11" ht="20.100000000000001" customHeight="1">
      <c r="A33" s="33">
        <v>2009</v>
      </c>
      <c r="B33" s="309">
        <f>124202/14*13</f>
        <v>115330.42857142858</v>
      </c>
      <c r="C33" s="309"/>
      <c r="D33" s="14">
        <v>360</v>
      </c>
      <c r="E33" s="290">
        <f t="shared" si="1"/>
        <v>115330.42857142858</v>
      </c>
      <c r="F33" s="290"/>
      <c r="G33" s="290"/>
      <c r="H33" s="310">
        <v>1.1652</v>
      </c>
      <c r="I33" s="310"/>
      <c r="J33" s="290">
        <f t="shared" si="2"/>
        <v>134383.01537142857</v>
      </c>
      <c r="K33" s="291"/>
    </row>
    <row r="34" spans="1:11" ht="20.100000000000001" customHeight="1">
      <c r="A34" s="33">
        <v>2010</v>
      </c>
      <c r="B34" s="309">
        <f>124209/14*13</f>
        <v>115336.92857142858</v>
      </c>
      <c r="C34" s="309"/>
      <c r="D34" s="14">
        <v>360</v>
      </c>
      <c r="E34" s="290">
        <f t="shared" si="1"/>
        <v>115336.92857142858</v>
      </c>
      <c r="F34" s="290"/>
      <c r="G34" s="290"/>
      <c r="H34" s="310">
        <v>1.1363000000000001</v>
      </c>
      <c r="I34" s="310"/>
      <c r="J34" s="290">
        <f t="shared" si="2"/>
        <v>131057.35193571431</v>
      </c>
      <c r="K34" s="291"/>
    </row>
    <row r="35" spans="1:11" ht="20.100000000000001" customHeight="1">
      <c r="A35" s="33">
        <v>2011</v>
      </c>
      <c r="B35" s="309">
        <f>124207/14*13</f>
        <v>115335.07142857142</v>
      </c>
      <c r="C35" s="309"/>
      <c r="D35" s="14">
        <v>360</v>
      </c>
      <c r="E35" s="290">
        <f t="shared" si="1"/>
        <v>115335.07142857142</v>
      </c>
      <c r="F35" s="290"/>
      <c r="G35" s="290"/>
      <c r="H35" s="310">
        <v>1.0962000000000001</v>
      </c>
      <c r="I35" s="310"/>
      <c r="J35" s="290">
        <f t="shared" si="2"/>
        <v>126430.30529999999</v>
      </c>
      <c r="K35" s="291"/>
    </row>
    <row r="36" spans="1:11" ht="20.100000000000001" customHeight="1">
      <c r="A36" s="33">
        <v>2012</v>
      </c>
      <c r="B36" s="309">
        <f>124204.28/14*13</f>
        <v>115332.5457142857</v>
      </c>
      <c r="C36" s="309"/>
      <c r="D36" s="14">
        <v>360</v>
      </c>
      <c r="E36" s="290">
        <f t="shared" si="1"/>
        <v>115332.54571428569</v>
      </c>
      <c r="F36" s="290"/>
      <c r="G36" s="290"/>
      <c r="H36" s="310">
        <v>1.0535000000000001</v>
      </c>
      <c r="I36" s="310"/>
      <c r="J36" s="290">
        <f t="shared" si="2"/>
        <v>121502.83690999998</v>
      </c>
      <c r="K36" s="291"/>
    </row>
    <row r="37" spans="1:11" ht="20.100000000000001" customHeight="1">
      <c r="A37" s="33">
        <v>2013</v>
      </c>
      <c r="B37" s="309">
        <f>124205.28/14*13</f>
        <v>115333.47428571428</v>
      </c>
      <c r="C37" s="309"/>
      <c r="D37" s="14">
        <v>360</v>
      </c>
      <c r="E37" s="290">
        <f t="shared" si="1"/>
        <v>115333.47428571427</v>
      </c>
      <c r="F37" s="290"/>
      <c r="G37" s="290"/>
      <c r="H37" s="310">
        <v>1.0321</v>
      </c>
      <c r="I37" s="310"/>
      <c r="J37" s="290">
        <f t="shared" si="2"/>
        <v>119035.6788102857</v>
      </c>
      <c r="K37" s="291"/>
    </row>
    <row r="38" spans="1:11" ht="20.100000000000001" customHeight="1">
      <c r="A38" s="33">
        <v>2014</v>
      </c>
      <c r="B38" s="309">
        <f>124206/14*13</f>
        <v>115334.14285714286</v>
      </c>
      <c r="C38" s="309"/>
      <c r="D38" s="14">
        <v>360</v>
      </c>
      <c r="E38" s="290">
        <f t="shared" si="1"/>
        <v>115334.14285714286</v>
      </c>
      <c r="F38" s="290"/>
      <c r="G38" s="290"/>
      <c r="H38" s="310">
        <v>1.02</v>
      </c>
      <c r="I38" s="310"/>
      <c r="J38" s="290">
        <f t="shared" si="2"/>
        <v>117640.82571428572</v>
      </c>
      <c r="K38" s="291"/>
    </row>
    <row r="39" spans="1:11" ht="20.100000000000001" customHeight="1">
      <c r="A39" s="33">
        <v>2015</v>
      </c>
      <c r="B39" s="309">
        <f>124207/14*13</f>
        <v>115335.07142857142</v>
      </c>
      <c r="C39" s="309"/>
      <c r="D39" s="14">
        <v>360</v>
      </c>
      <c r="E39" s="290">
        <f t="shared" si="1"/>
        <v>115335.07142857142</v>
      </c>
      <c r="F39" s="290"/>
      <c r="G39" s="290"/>
      <c r="H39" s="310">
        <v>1.01</v>
      </c>
      <c r="I39" s="310"/>
      <c r="J39" s="290">
        <f t="shared" si="2"/>
        <v>116488.42214285713</v>
      </c>
      <c r="K39" s="291"/>
    </row>
    <row r="40" spans="1:11" ht="20.100000000000001" customHeight="1">
      <c r="A40" s="33">
        <v>2016</v>
      </c>
      <c r="B40" s="309">
        <f>124208/14*13</f>
        <v>115336</v>
      </c>
      <c r="C40" s="309"/>
      <c r="D40" s="14">
        <v>360</v>
      </c>
      <c r="E40" s="290">
        <f t="shared" si="1"/>
        <v>115336</v>
      </c>
      <c r="F40" s="290"/>
      <c r="G40" s="290"/>
      <c r="H40" s="310">
        <v>1</v>
      </c>
      <c r="I40" s="310"/>
      <c r="J40" s="290">
        <f t="shared" si="2"/>
        <v>115336</v>
      </c>
      <c r="K40" s="291"/>
    </row>
    <row r="41" spans="1:11" ht="20.100000000000001" customHeight="1" thickBot="1">
      <c r="A41" s="38">
        <v>2017</v>
      </c>
      <c r="B41" s="330">
        <f>124208/14*13</f>
        <v>115336</v>
      </c>
      <c r="C41" s="330"/>
      <c r="D41" s="60">
        <v>270</v>
      </c>
      <c r="E41" s="292">
        <f t="shared" si="1"/>
        <v>86502</v>
      </c>
      <c r="F41" s="292"/>
      <c r="G41" s="292"/>
      <c r="H41" s="331">
        <v>1</v>
      </c>
      <c r="I41" s="331"/>
      <c r="J41" s="292">
        <f t="shared" si="2"/>
        <v>86502</v>
      </c>
      <c r="K41" s="293"/>
    </row>
    <row r="42" spans="1:11" ht="20.100000000000001" customHeight="1" thickBot="1">
      <c r="A42" s="332" t="s">
        <v>33</v>
      </c>
      <c r="B42" s="333"/>
      <c r="C42" s="333"/>
      <c r="D42" s="74">
        <f>SUM(D31:D41)</f>
        <v>3600</v>
      </c>
      <c r="E42" s="334"/>
      <c r="F42" s="334"/>
      <c r="G42" s="334"/>
      <c r="H42" s="334"/>
      <c r="I42" s="334"/>
      <c r="J42" s="294">
        <f>SUM(J31:K41)</f>
        <v>1217867.9593720715</v>
      </c>
      <c r="K42" s="335"/>
    </row>
    <row r="43" spans="1:11" ht="20.100000000000001" customHeight="1">
      <c r="A43" s="344" t="s">
        <v>34</v>
      </c>
      <c r="B43" s="345"/>
      <c r="C43" s="345"/>
      <c r="D43" s="345"/>
      <c r="E43" s="345"/>
      <c r="F43" s="34"/>
      <c r="G43" s="328"/>
      <c r="H43" s="328"/>
      <c r="I43" s="328"/>
      <c r="J43" s="324">
        <f>J42/D42*30</f>
        <v>10148.899661433928</v>
      </c>
      <c r="K43" s="325"/>
    </row>
    <row r="44" spans="1:11" ht="20.100000000000001" customHeight="1" thickBot="1">
      <c r="A44" s="346" t="s">
        <v>35</v>
      </c>
      <c r="B44" s="347"/>
      <c r="C44" s="347"/>
      <c r="D44" s="347"/>
      <c r="E44" s="347"/>
      <c r="F44" s="11"/>
      <c r="G44" s="329"/>
      <c r="H44" s="329"/>
      <c r="I44" s="329"/>
      <c r="J44" s="326">
        <f>J43*12</f>
        <v>121786.79593720715</v>
      </c>
      <c r="K44" s="327"/>
    </row>
    <row r="45" spans="1:11" ht="37.5" customHeight="1" thickBo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</row>
    <row r="46" spans="1:11" ht="20.100000000000001" customHeight="1" thickBot="1">
      <c r="A46" s="252" t="s">
        <v>36</v>
      </c>
      <c r="B46" s="250"/>
      <c r="C46" s="250"/>
      <c r="D46" s="250"/>
      <c r="E46" s="250"/>
      <c r="F46" s="12"/>
      <c r="G46" s="354" t="s">
        <v>37</v>
      </c>
      <c r="H46" s="354"/>
      <c r="I46" s="354"/>
      <c r="J46" s="302">
        <v>3843.58</v>
      </c>
      <c r="K46" s="353"/>
    </row>
    <row r="47" spans="1:11" ht="42" customHeight="1" thickBot="1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</row>
    <row r="48" spans="1:11" ht="37.5" customHeight="1" thickBot="1">
      <c r="A48" s="355" t="s">
        <v>24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7"/>
    </row>
    <row r="49" spans="1:11" ht="30.75" customHeight="1" thickBot="1">
      <c r="A49" s="25" t="s">
        <v>38</v>
      </c>
      <c r="B49" s="342" t="s">
        <v>39</v>
      </c>
      <c r="C49" s="343"/>
      <c r="D49" s="26" t="s">
        <v>40</v>
      </c>
      <c r="E49" s="348" t="s">
        <v>41</v>
      </c>
      <c r="F49" s="348"/>
      <c r="G49" s="348"/>
      <c r="H49" s="349" t="s">
        <v>42</v>
      </c>
      <c r="I49" s="349"/>
      <c r="J49" s="348" t="s">
        <v>43</v>
      </c>
      <c r="K49" s="350"/>
    </row>
    <row r="50" spans="1:11" ht="20.100000000000001" customHeight="1">
      <c r="A50" s="35">
        <f>19*12</f>
        <v>228</v>
      </c>
      <c r="B50" s="351">
        <f>J46</f>
        <v>3843.58</v>
      </c>
      <c r="C50" s="351"/>
      <c r="D50" s="24">
        <v>0.02</v>
      </c>
      <c r="E50" s="352">
        <f>(A50/12)*D50</f>
        <v>0.38</v>
      </c>
      <c r="F50" s="352"/>
      <c r="G50" s="352"/>
      <c r="H50" s="288">
        <f>B50*E50</f>
        <v>1460.5604000000001</v>
      </c>
      <c r="I50" s="288"/>
      <c r="J50" s="288">
        <f>H50*12</f>
        <v>17526.7248</v>
      </c>
      <c r="K50" s="289"/>
    </row>
    <row r="51" spans="1:11" ht="20.100000000000001" customHeight="1">
      <c r="A51" s="33">
        <v>228</v>
      </c>
      <c r="B51" s="338">
        <f>B50*33%</f>
        <v>1268.3814</v>
      </c>
      <c r="C51" s="338"/>
      <c r="D51" s="22">
        <v>1.6E-2</v>
      </c>
      <c r="E51" s="339">
        <f t="shared" ref="E51:E53" si="3">(A51/12)*D51</f>
        <v>0.30399999999999999</v>
      </c>
      <c r="F51" s="339"/>
      <c r="G51" s="339"/>
      <c r="H51" s="290">
        <f t="shared" ref="H51:H54" si="4">B51*E51</f>
        <v>385.58794560000001</v>
      </c>
      <c r="I51" s="290"/>
      <c r="J51" s="290">
        <f t="shared" ref="J51:J54" si="5">H51*12</f>
        <v>4627.0553472000001</v>
      </c>
      <c r="K51" s="291"/>
    </row>
    <row r="52" spans="1:11" ht="20.100000000000001" customHeight="1">
      <c r="A52" s="33">
        <v>228</v>
      </c>
      <c r="B52" s="338">
        <f>B50*33%</f>
        <v>1268.3814</v>
      </c>
      <c r="C52" s="338"/>
      <c r="D52" s="22">
        <v>1.35E-2</v>
      </c>
      <c r="E52" s="339">
        <f t="shared" si="3"/>
        <v>0.25650000000000001</v>
      </c>
      <c r="F52" s="339"/>
      <c r="G52" s="339"/>
      <c r="H52" s="290">
        <f t="shared" si="4"/>
        <v>325.33982910000003</v>
      </c>
      <c r="I52" s="290"/>
      <c r="J52" s="290">
        <f t="shared" si="5"/>
        <v>3904.0779492000001</v>
      </c>
      <c r="K52" s="291"/>
    </row>
    <row r="53" spans="1:11" ht="20.100000000000001" customHeight="1">
      <c r="A53" s="33">
        <v>228</v>
      </c>
      <c r="B53" s="338">
        <f>B50*24%</f>
        <v>922.4591999999999</v>
      </c>
      <c r="C53" s="338"/>
      <c r="D53" s="22">
        <v>1.0999999999999999E-2</v>
      </c>
      <c r="E53" s="339">
        <f t="shared" si="3"/>
        <v>0.20899999999999999</v>
      </c>
      <c r="F53" s="339"/>
      <c r="G53" s="339"/>
      <c r="H53" s="290">
        <f t="shared" si="4"/>
        <v>192.79397279999998</v>
      </c>
      <c r="I53" s="290"/>
      <c r="J53" s="290">
        <f t="shared" si="5"/>
        <v>2313.5276735999996</v>
      </c>
      <c r="K53" s="291"/>
    </row>
    <row r="54" spans="1:11" ht="20.100000000000001" customHeight="1" thickBot="1">
      <c r="A54" s="38">
        <v>228</v>
      </c>
      <c r="B54" s="340">
        <f>J43-J46*1.9</f>
        <v>2846.0976614339288</v>
      </c>
      <c r="C54" s="340"/>
      <c r="D54" s="27">
        <v>8.9999999999999993E-3</v>
      </c>
      <c r="E54" s="341">
        <f t="shared" ref="E54" si="6">(A54/12)*D54</f>
        <v>0.17099999999999999</v>
      </c>
      <c r="F54" s="341"/>
      <c r="G54" s="341"/>
      <c r="H54" s="292">
        <f t="shared" si="4"/>
        <v>486.68270010520177</v>
      </c>
      <c r="I54" s="292"/>
      <c r="J54" s="292">
        <f t="shared" si="5"/>
        <v>5840.1924012624213</v>
      </c>
      <c r="K54" s="293"/>
    </row>
    <row r="55" spans="1:11" ht="27" customHeight="1" thickBot="1">
      <c r="A55" s="25" t="s">
        <v>44</v>
      </c>
      <c r="B55" s="336">
        <f>SUM(B50:C54)</f>
        <v>10148.89966143393</v>
      </c>
      <c r="C55" s="336"/>
      <c r="D55" s="29"/>
      <c r="E55" s="294"/>
      <c r="F55" s="294"/>
      <c r="G55" s="294"/>
      <c r="H55" s="247">
        <f>SUM(H50:I54)</f>
        <v>2850.9648476052016</v>
      </c>
      <c r="I55" s="247"/>
      <c r="J55" s="279">
        <f t="shared" ref="J55" si="7">H55*12</f>
        <v>34211.578171262416</v>
      </c>
      <c r="K55" s="337"/>
    </row>
    <row r="56" spans="1:1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</row>
    <row r="57" spans="1:11" s="361" customFormat="1"/>
    <row r="58" spans="1:11">
      <c r="A58" s="361"/>
      <c r="B58" s="361"/>
      <c r="C58" s="361"/>
      <c r="D58" s="361"/>
      <c r="E58" s="361"/>
      <c r="F58" s="361"/>
      <c r="G58" s="361"/>
      <c r="H58" s="361"/>
      <c r="I58" s="361"/>
      <c r="J58" s="361"/>
      <c r="K58" s="361"/>
    </row>
    <row r="59" spans="1:11" ht="25.5" customHeight="1" thickBot="1">
      <c r="A59" s="249" t="s">
        <v>152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</row>
    <row r="60" spans="1:11" ht="25.5" customHeight="1" thickBot="1">
      <c r="A60" s="227" t="s">
        <v>74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9"/>
    </row>
    <row r="61" spans="1:11" ht="28.5" customHeight="1" thickBot="1">
      <c r="A61" s="25" t="s">
        <v>27</v>
      </c>
      <c r="B61" s="280" t="s">
        <v>47</v>
      </c>
      <c r="C61" s="280"/>
      <c r="D61" s="37" t="s">
        <v>49</v>
      </c>
      <c r="E61" s="37" t="s">
        <v>48</v>
      </c>
      <c r="F61" s="39"/>
      <c r="G61" s="320" t="s">
        <v>53</v>
      </c>
      <c r="H61" s="320"/>
      <c r="I61" s="320" t="s">
        <v>54</v>
      </c>
      <c r="J61" s="320"/>
      <c r="K61" s="40" t="s">
        <v>55</v>
      </c>
    </row>
    <row r="62" spans="1:11" ht="20.100000000000001" customHeight="1">
      <c r="A62" s="31">
        <v>2012</v>
      </c>
      <c r="B62" s="362">
        <f>124204.28</f>
        <v>124204.28</v>
      </c>
      <c r="C62" s="362"/>
      <c r="D62" s="41">
        <v>0.33</v>
      </c>
      <c r="E62" s="32">
        <v>360</v>
      </c>
      <c r="F62" s="32"/>
      <c r="G62" s="363">
        <f t="shared" ref="G62:G67" si="8">B62/360*D62*E62</f>
        <v>40987.412400000001</v>
      </c>
      <c r="H62" s="363"/>
      <c r="I62" s="364"/>
      <c r="J62" s="364"/>
      <c r="K62" s="42">
        <f>G62</f>
        <v>40987.412400000001</v>
      </c>
    </row>
    <row r="63" spans="1:11" ht="20.100000000000001" customHeight="1">
      <c r="A63" s="33">
        <v>2013</v>
      </c>
      <c r="B63" s="309">
        <f>124205.28</f>
        <v>124205.28</v>
      </c>
      <c r="C63" s="309"/>
      <c r="D63" s="22">
        <v>0.33</v>
      </c>
      <c r="E63" s="14">
        <v>360</v>
      </c>
      <c r="F63" s="14"/>
      <c r="G63" s="290">
        <f t="shared" si="8"/>
        <v>40987.742399999996</v>
      </c>
      <c r="H63" s="290"/>
      <c r="I63" s="359">
        <v>1.011344</v>
      </c>
      <c r="J63" s="359"/>
      <c r="K63" s="30">
        <f>K62*I63+G63</f>
        <v>82440.116006265598</v>
      </c>
    </row>
    <row r="64" spans="1:11" ht="20.100000000000001" customHeight="1">
      <c r="A64" s="33">
        <v>2014</v>
      </c>
      <c r="B64" s="309">
        <f>124206</f>
        <v>124206</v>
      </c>
      <c r="C64" s="309"/>
      <c r="D64" s="22">
        <v>0.33</v>
      </c>
      <c r="E64" s="14">
        <v>360</v>
      </c>
      <c r="F64" s="14"/>
      <c r="G64" s="290">
        <f t="shared" si="8"/>
        <v>40987.980000000003</v>
      </c>
      <c r="H64" s="290"/>
      <c r="I64" s="360">
        <v>1.0016430000000001</v>
      </c>
      <c r="J64" s="360"/>
      <c r="K64" s="30">
        <f>K63*I64+G64</f>
        <v>123563.54511686391</v>
      </c>
    </row>
    <row r="65" spans="1:13" ht="20.100000000000001" customHeight="1">
      <c r="A65" s="33">
        <v>2015</v>
      </c>
      <c r="B65" s="309">
        <f>124207</f>
        <v>124207</v>
      </c>
      <c r="C65" s="309"/>
      <c r="D65" s="22">
        <v>0.33</v>
      </c>
      <c r="E65" s="14">
        <v>360</v>
      </c>
      <c r="F65" s="14"/>
      <c r="G65" s="290">
        <f t="shared" si="8"/>
        <v>40988.310000000005</v>
      </c>
      <c r="H65" s="290"/>
      <c r="I65" s="360">
        <v>1</v>
      </c>
      <c r="J65" s="360"/>
      <c r="K65" s="30">
        <f>K64*I65+G65</f>
        <v>164551.85511686391</v>
      </c>
    </row>
    <row r="66" spans="1:13" ht="20.100000000000001" customHeight="1">
      <c r="A66" s="33">
        <v>2016</v>
      </c>
      <c r="B66" s="309">
        <f>124208</f>
        <v>124208</v>
      </c>
      <c r="C66" s="309"/>
      <c r="D66" s="22">
        <v>0.33</v>
      </c>
      <c r="E66" s="14">
        <v>360</v>
      </c>
      <c r="F66" s="14"/>
      <c r="G66" s="290">
        <f t="shared" si="8"/>
        <v>40988.640000000007</v>
      </c>
      <c r="H66" s="290"/>
      <c r="I66" s="359">
        <v>1.005058</v>
      </c>
      <c r="J66" s="359"/>
      <c r="K66" s="30">
        <f>K65*I66+G66</f>
        <v>206372.79840004502</v>
      </c>
    </row>
    <row r="67" spans="1:13" ht="20.100000000000001" customHeight="1" thickBot="1">
      <c r="A67" s="17">
        <v>2017</v>
      </c>
      <c r="B67" s="365">
        <f>124208</f>
        <v>124208</v>
      </c>
      <c r="C67" s="365"/>
      <c r="D67" s="43">
        <v>0.33</v>
      </c>
      <c r="E67" s="18">
        <v>270</v>
      </c>
      <c r="F67" s="18"/>
      <c r="G67" s="366">
        <f t="shared" si="8"/>
        <v>30741.480000000003</v>
      </c>
      <c r="H67" s="366"/>
      <c r="I67" s="367">
        <v>1.0046839999999999</v>
      </c>
      <c r="J67" s="367"/>
      <c r="K67" s="44">
        <f>K66*I67+G67</f>
        <v>238080.92858775082</v>
      </c>
    </row>
    <row r="68" spans="1:13" ht="20.100000000000001" customHeight="1" thickBot="1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M68" s="45"/>
    </row>
    <row r="69" spans="1:13" ht="20.100000000000001" customHeight="1" thickBot="1">
      <c r="A69" s="227" t="s">
        <v>87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9"/>
      <c r="M69" s="45"/>
    </row>
    <row r="70" spans="1:13" ht="20.100000000000001" customHeight="1" thickBot="1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M70" s="45"/>
    </row>
    <row r="71" spans="1:13" ht="20.100000000000001" customHeight="1" thickBot="1">
      <c r="A71" s="231" t="s">
        <v>88</v>
      </c>
      <c r="B71" s="232"/>
      <c r="C71" s="232" t="s">
        <v>89</v>
      </c>
      <c r="D71" s="232"/>
      <c r="E71" s="232"/>
      <c r="F71" s="79"/>
      <c r="G71" s="232" t="s">
        <v>92</v>
      </c>
      <c r="H71" s="232"/>
      <c r="I71" s="232"/>
      <c r="J71" s="232"/>
      <c r="K71" s="80" t="s">
        <v>90</v>
      </c>
      <c r="M71" s="45"/>
    </row>
    <row r="72" spans="1:13" ht="20.100000000000001" customHeight="1" thickBot="1">
      <c r="A72" s="233" t="s">
        <v>96</v>
      </c>
      <c r="B72" s="234"/>
      <c r="C72" s="235">
        <v>5.1748000000000002E-2</v>
      </c>
      <c r="D72" s="235"/>
      <c r="E72" s="235"/>
      <c r="F72" s="81"/>
      <c r="G72" s="236">
        <f>K67*C72</f>
        <v>12320.211892558929</v>
      </c>
      <c r="H72" s="236"/>
      <c r="I72" s="236"/>
      <c r="J72" s="236"/>
      <c r="K72" s="62">
        <f>G72/13</f>
        <v>947.70860711991759</v>
      </c>
      <c r="M72" s="45"/>
    </row>
    <row r="73" spans="1:13" ht="33.75" customHeight="1" thickBot="1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M73" s="45"/>
    </row>
    <row r="74" spans="1:13" ht="20.100000000000001" customHeight="1" thickBot="1">
      <c r="A74" s="245" t="s">
        <v>153</v>
      </c>
      <c r="B74" s="246"/>
      <c r="C74" s="246"/>
      <c r="D74" s="246"/>
      <c r="E74" s="246"/>
      <c r="F74" s="246"/>
      <c r="G74" s="246"/>
      <c r="H74" s="246"/>
      <c r="I74" s="246"/>
      <c r="J74" s="247">
        <f>G25+H55+K72</f>
        <v>7793.0221179251184</v>
      </c>
      <c r="K74" s="248"/>
    </row>
    <row r="75" spans="1:13" ht="52.5" customHeight="1" thickBot="1">
      <c r="A75" s="376"/>
      <c r="B75" s="376"/>
      <c r="C75" s="376"/>
      <c r="D75" s="376"/>
      <c r="E75" s="376"/>
      <c r="F75" s="376"/>
      <c r="G75" s="376"/>
      <c r="H75" s="376"/>
      <c r="I75" s="376"/>
      <c r="J75" s="376"/>
      <c r="K75" s="376"/>
    </row>
    <row r="76" spans="1:13" ht="31.5" customHeight="1" thickBot="1">
      <c r="A76" s="378" t="s">
        <v>56</v>
      </c>
      <c r="B76" s="379"/>
      <c r="C76" s="379"/>
      <c r="D76" s="379"/>
      <c r="E76" s="379"/>
      <c r="F76" s="379"/>
      <c r="G76" s="379"/>
      <c r="H76" s="380"/>
      <c r="I76" s="377" t="s">
        <v>57</v>
      </c>
      <c r="J76" s="377"/>
      <c r="K76" s="46" t="s">
        <v>97</v>
      </c>
    </row>
    <row r="77" spans="1:13" ht="23.1" customHeight="1">
      <c r="A77" s="371" t="s">
        <v>59</v>
      </c>
      <c r="B77" s="328"/>
      <c r="C77" s="328"/>
      <c r="D77" s="328"/>
      <c r="E77" s="328"/>
      <c r="F77" s="328"/>
      <c r="G77" s="328"/>
      <c r="H77" s="328"/>
      <c r="I77" s="372"/>
      <c r="J77" s="372"/>
      <c r="K77" s="82">
        <f>I78*13</f>
        <v>101309.28753302654</v>
      </c>
    </row>
    <row r="78" spans="1:13" ht="23.1" customHeight="1">
      <c r="A78" s="373" t="s">
        <v>60</v>
      </c>
      <c r="B78" s="374"/>
      <c r="C78" s="374"/>
      <c r="D78" s="374"/>
      <c r="E78" s="374"/>
      <c r="F78" s="374"/>
      <c r="G78" s="374"/>
      <c r="H78" s="374"/>
      <c r="I78" s="241">
        <f>J74</f>
        <v>7793.0221179251184</v>
      </c>
      <c r="J78" s="375"/>
      <c r="K78" s="48"/>
    </row>
    <row r="79" spans="1:13" ht="23.1" customHeight="1">
      <c r="A79" s="373" t="s">
        <v>61</v>
      </c>
      <c r="B79" s="374"/>
      <c r="C79" s="374"/>
      <c r="D79" s="374"/>
      <c r="E79" s="374"/>
      <c r="F79" s="374"/>
      <c r="G79" s="374"/>
      <c r="H79" s="374"/>
      <c r="I79" s="241">
        <f>-I78*43%+569.167</f>
        <v>-2781.8325107078008</v>
      </c>
      <c r="J79" s="241"/>
      <c r="K79" s="48"/>
    </row>
    <row r="80" spans="1:13" ht="23.1" customHeight="1">
      <c r="A80" s="239" t="s">
        <v>62</v>
      </c>
      <c r="B80" s="240"/>
      <c r="C80" s="240"/>
      <c r="D80" s="240"/>
      <c r="E80" s="240"/>
      <c r="F80" s="240"/>
      <c r="G80" s="240"/>
      <c r="H80" s="240"/>
      <c r="I80" s="241" t="s">
        <v>22</v>
      </c>
      <c r="J80" s="241"/>
      <c r="K80" s="48"/>
    </row>
    <row r="81" spans="1:11" ht="23.1" customHeight="1">
      <c r="A81" s="242" t="s">
        <v>63</v>
      </c>
      <c r="B81" s="243"/>
      <c r="C81" s="243"/>
      <c r="D81" s="243"/>
      <c r="E81" s="243"/>
      <c r="F81" s="243"/>
      <c r="G81" s="243"/>
      <c r="H81" s="243"/>
      <c r="I81" s="244">
        <f>I78+I79</f>
        <v>5011.1896072173176</v>
      </c>
      <c r="J81" s="244"/>
      <c r="K81" s="48"/>
    </row>
    <row r="82" spans="1:11" ht="23.1" customHeight="1" thickBot="1">
      <c r="A82" s="368" t="s">
        <v>64</v>
      </c>
      <c r="B82" s="369"/>
      <c r="C82" s="369"/>
      <c r="D82" s="369"/>
      <c r="E82" s="369"/>
      <c r="F82" s="369"/>
      <c r="G82" s="369"/>
      <c r="H82" s="369"/>
      <c r="I82" s="370">
        <f>I78*57%</f>
        <v>4442.0226072173173</v>
      </c>
      <c r="J82" s="370"/>
      <c r="K82" s="49"/>
    </row>
    <row r="83" spans="1:11" ht="15.75" thickBot="1">
      <c r="A83" s="237"/>
      <c r="B83" s="237"/>
      <c r="C83" s="237"/>
      <c r="D83" s="237"/>
      <c r="E83" s="237"/>
      <c r="F83" s="237"/>
      <c r="G83" s="237"/>
      <c r="H83" s="237"/>
      <c r="I83" s="238"/>
      <c r="J83" s="238"/>
      <c r="K83" s="23"/>
    </row>
    <row r="84" spans="1:11" ht="15.75" thickBot="1">
      <c r="A84" s="224" t="s">
        <v>93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6"/>
    </row>
  </sheetData>
  <mergeCells count="198">
    <mergeCell ref="A68:K68"/>
    <mergeCell ref="A82:H82"/>
    <mergeCell ref="I82:J82"/>
    <mergeCell ref="A77:H77"/>
    <mergeCell ref="I77:J77"/>
    <mergeCell ref="A78:H78"/>
    <mergeCell ref="I78:J78"/>
    <mergeCell ref="A79:H79"/>
    <mergeCell ref="I79:J79"/>
    <mergeCell ref="A75:K75"/>
    <mergeCell ref="I76:J76"/>
    <mergeCell ref="A76:H76"/>
    <mergeCell ref="B67:C67"/>
    <mergeCell ref="G67:H67"/>
    <mergeCell ref="I67:J67"/>
    <mergeCell ref="B65:C65"/>
    <mergeCell ref="G65:H65"/>
    <mergeCell ref="I65:J65"/>
    <mergeCell ref="B66:C66"/>
    <mergeCell ref="G66:H66"/>
    <mergeCell ref="I66:J66"/>
    <mergeCell ref="B63:C63"/>
    <mergeCell ref="G63:H63"/>
    <mergeCell ref="I63:J63"/>
    <mergeCell ref="B64:C64"/>
    <mergeCell ref="G64:H64"/>
    <mergeCell ref="I64:J64"/>
    <mergeCell ref="A60:K60"/>
    <mergeCell ref="B61:C61"/>
    <mergeCell ref="A56:K56"/>
    <mergeCell ref="A57:XFD57"/>
    <mergeCell ref="A58:K58"/>
    <mergeCell ref="G61:H61"/>
    <mergeCell ref="I61:J61"/>
    <mergeCell ref="B62:C62"/>
    <mergeCell ref="G62:H62"/>
    <mergeCell ref="I62:J62"/>
    <mergeCell ref="A59:K59"/>
    <mergeCell ref="E49:G49"/>
    <mergeCell ref="H49:I49"/>
    <mergeCell ref="J49:K49"/>
    <mergeCell ref="B50:C50"/>
    <mergeCell ref="E50:G50"/>
    <mergeCell ref="H50:I50"/>
    <mergeCell ref="J50:K50"/>
    <mergeCell ref="A45:K45"/>
    <mergeCell ref="J46:K46"/>
    <mergeCell ref="A46:E46"/>
    <mergeCell ref="G46:I46"/>
    <mergeCell ref="A48:K48"/>
    <mergeCell ref="A47:K47"/>
    <mergeCell ref="A26:K26"/>
    <mergeCell ref="B55:C55"/>
    <mergeCell ref="E55:G55"/>
    <mergeCell ref="H55:I55"/>
    <mergeCell ref="J55:K55"/>
    <mergeCell ref="B53:C53"/>
    <mergeCell ref="E53:G53"/>
    <mergeCell ref="H53:I53"/>
    <mergeCell ref="J53:K53"/>
    <mergeCell ref="B54:C54"/>
    <mergeCell ref="E54:G54"/>
    <mergeCell ref="H54:I54"/>
    <mergeCell ref="J54:K54"/>
    <mergeCell ref="B51:C51"/>
    <mergeCell ref="E51:G51"/>
    <mergeCell ref="H51:I51"/>
    <mergeCell ref="J51:K51"/>
    <mergeCell ref="B52:C52"/>
    <mergeCell ref="E52:G52"/>
    <mergeCell ref="H52:I52"/>
    <mergeCell ref="J52:K52"/>
    <mergeCell ref="B49:C49"/>
    <mergeCell ref="A43:E43"/>
    <mergeCell ref="A44:E44"/>
    <mergeCell ref="J43:K43"/>
    <mergeCell ref="J44:K44"/>
    <mergeCell ref="G43:I43"/>
    <mergeCell ref="G44:I44"/>
    <mergeCell ref="B41:C41"/>
    <mergeCell ref="E41:G41"/>
    <mergeCell ref="H41:I41"/>
    <mergeCell ref="J41:K41"/>
    <mergeCell ref="A42:C42"/>
    <mergeCell ref="E42:G42"/>
    <mergeCell ref="H42:I42"/>
    <mergeCell ref="J42:K42"/>
    <mergeCell ref="B39:C39"/>
    <mergeCell ref="E39:G39"/>
    <mergeCell ref="H39:I39"/>
    <mergeCell ref="J39:K39"/>
    <mergeCell ref="B40:C40"/>
    <mergeCell ref="E40:G40"/>
    <mergeCell ref="H40:I40"/>
    <mergeCell ref="J40:K40"/>
    <mergeCell ref="B37:C37"/>
    <mergeCell ref="E37:G37"/>
    <mergeCell ref="H37:I37"/>
    <mergeCell ref="J37:K37"/>
    <mergeCell ref="B38:C38"/>
    <mergeCell ref="E38:G38"/>
    <mergeCell ref="H38:I38"/>
    <mergeCell ref="J38:K38"/>
    <mergeCell ref="B35:C35"/>
    <mergeCell ref="E35:G35"/>
    <mergeCell ref="H35:I35"/>
    <mergeCell ref="J35:K35"/>
    <mergeCell ref="B36:C36"/>
    <mergeCell ref="E36:G36"/>
    <mergeCell ref="H36:I36"/>
    <mergeCell ref="J36:K36"/>
    <mergeCell ref="B33:C33"/>
    <mergeCell ref="E33:G33"/>
    <mergeCell ref="H33:I33"/>
    <mergeCell ref="J33:K33"/>
    <mergeCell ref="B34:C34"/>
    <mergeCell ref="E34:G34"/>
    <mergeCell ref="H34:I34"/>
    <mergeCell ref="J34:K34"/>
    <mergeCell ref="B31:C31"/>
    <mergeCell ref="E31:G31"/>
    <mergeCell ref="H31:I31"/>
    <mergeCell ref="J31:K31"/>
    <mergeCell ref="B32:C32"/>
    <mergeCell ref="E32:G32"/>
    <mergeCell ref="H32:I32"/>
    <mergeCell ref="J32:K32"/>
    <mergeCell ref="A27:K27"/>
    <mergeCell ref="A28:K28"/>
    <mergeCell ref="A29:K29"/>
    <mergeCell ref="B30:C30"/>
    <mergeCell ref="J30:K30"/>
    <mergeCell ref="H30:I30"/>
    <mergeCell ref="E30:G30"/>
    <mergeCell ref="J18:K18"/>
    <mergeCell ref="J19:K19"/>
    <mergeCell ref="J20:K20"/>
    <mergeCell ref="J21:K21"/>
    <mergeCell ref="J22:K22"/>
    <mergeCell ref="J23:K23"/>
    <mergeCell ref="J24:K24"/>
    <mergeCell ref="J25:K25"/>
    <mergeCell ref="A23:E23"/>
    <mergeCell ref="A24:E24"/>
    <mergeCell ref="A25:E25"/>
    <mergeCell ref="G18:I18"/>
    <mergeCell ref="G19:I19"/>
    <mergeCell ref="G20:I20"/>
    <mergeCell ref="G21:I21"/>
    <mergeCell ref="G22:I22"/>
    <mergeCell ref="G23:I23"/>
    <mergeCell ref="G24:I24"/>
    <mergeCell ref="G25:I25"/>
    <mergeCell ref="A18:E18"/>
    <mergeCell ref="A19:E19"/>
    <mergeCell ref="A20:E20"/>
    <mergeCell ref="A21:E21"/>
    <mergeCell ref="A22:E22"/>
    <mergeCell ref="A16:K16"/>
    <mergeCell ref="J17:K17"/>
    <mergeCell ref="G17:I17"/>
    <mergeCell ref="A17:E17"/>
    <mergeCell ref="A1:K1"/>
    <mergeCell ref="A2:K2"/>
    <mergeCell ref="A14:K14"/>
    <mergeCell ref="G5:H6"/>
    <mergeCell ref="I5:J6"/>
    <mergeCell ref="K5:K7"/>
    <mergeCell ref="A8:F8"/>
    <mergeCell ref="A9:F9"/>
    <mergeCell ref="A10:F10"/>
    <mergeCell ref="A11:F11"/>
    <mergeCell ref="A13:K13"/>
    <mergeCell ref="A5:F7"/>
    <mergeCell ref="B15:C15"/>
    <mergeCell ref="G15:I15"/>
    <mergeCell ref="J15:K15"/>
    <mergeCell ref="A12:F12"/>
    <mergeCell ref="A3:K3"/>
    <mergeCell ref="A4:K4"/>
    <mergeCell ref="A84:K84"/>
    <mergeCell ref="A69:K69"/>
    <mergeCell ref="A70:K70"/>
    <mergeCell ref="A71:B71"/>
    <mergeCell ref="C71:E71"/>
    <mergeCell ref="G71:J71"/>
    <mergeCell ref="A72:B72"/>
    <mergeCell ref="C72:E72"/>
    <mergeCell ref="G72:J72"/>
    <mergeCell ref="A73:K73"/>
    <mergeCell ref="A83:H83"/>
    <mergeCell ref="I83:J83"/>
    <mergeCell ref="A80:H80"/>
    <mergeCell ref="I80:J80"/>
    <mergeCell ref="A81:H81"/>
    <mergeCell ref="I81:J81"/>
    <mergeCell ref="A74:I74"/>
    <mergeCell ref="J74:K74"/>
  </mergeCells>
  <pageMargins left="0.86" right="0.48" top="0.75" bottom="0.75" header="0.3" footer="0.3"/>
  <pageSetup paperSize="9" orientation="portrait" horizontalDpi="0" verticalDpi="0" r:id="rId1"/>
  <headerFooter>
    <oddFooter>&amp;C&amp;P</oddFooter>
  </headerFooter>
  <rowBreaks count="1" manualBreakCount="1">
    <brk id="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workbookViewId="0">
      <selection sqref="A1:K1"/>
    </sheetView>
  </sheetViews>
  <sheetFormatPr defaultRowHeight="15"/>
  <cols>
    <col min="1" max="1" width="5.7109375" bestFit="1" customWidth="1"/>
    <col min="2" max="2" width="12" customWidth="1"/>
    <col min="3" max="3" width="6" customWidth="1"/>
    <col min="4" max="4" width="6.7109375" customWidth="1"/>
    <col min="5" max="5" width="7.7109375" customWidth="1"/>
    <col min="6" max="6" width="0" hidden="1" customWidth="1"/>
    <col min="7" max="7" width="7.5703125" customWidth="1"/>
    <col min="8" max="8" width="6.5703125" customWidth="1"/>
    <col min="9" max="9" width="6.85546875" customWidth="1"/>
    <col min="10" max="10" width="7.42578125" customWidth="1"/>
    <col min="11" max="11" width="19.140625" customWidth="1"/>
  </cols>
  <sheetData>
    <row r="1" spans="1:24" ht="51" customHeight="1" thickBot="1">
      <c r="A1" s="253" t="s">
        <v>99</v>
      </c>
      <c r="B1" s="254"/>
      <c r="C1" s="254"/>
      <c r="D1" s="254"/>
      <c r="E1" s="254"/>
      <c r="F1" s="254"/>
      <c r="G1" s="254"/>
      <c r="H1" s="255"/>
      <c r="I1" s="255"/>
      <c r="J1" s="255"/>
      <c r="K1" s="256"/>
      <c r="N1" s="90"/>
      <c r="O1" s="90"/>
      <c r="P1" s="90"/>
      <c r="Q1" s="90"/>
      <c r="R1" s="90"/>
      <c r="S1" s="90"/>
      <c r="T1" s="90"/>
      <c r="U1" s="91"/>
      <c r="V1" s="91"/>
      <c r="W1" s="91"/>
      <c r="X1" s="91"/>
    </row>
    <row r="2" spans="1:24" ht="65.25" customHeight="1" thickBot="1">
      <c r="A2" s="237"/>
      <c r="B2" s="237"/>
      <c r="C2" s="237"/>
      <c r="D2" s="237"/>
      <c r="E2" s="237"/>
      <c r="F2" s="237"/>
      <c r="G2" s="237"/>
      <c r="H2" s="257"/>
      <c r="I2" s="257"/>
      <c r="J2" s="257"/>
      <c r="K2" s="257"/>
    </row>
    <row r="3" spans="1:24" ht="93.75" customHeight="1" thickBot="1">
      <c r="A3" s="285" t="s">
        <v>100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  <c r="M3" s="57"/>
    </row>
    <row r="4" spans="1:24" ht="62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24">
      <c r="A5" s="273" t="s">
        <v>0</v>
      </c>
      <c r="B5" s="274"/>
      <c r="C5" s="274"/>
      <c r="D5" s="274"/>
      <c r="E5" s="274"/>
      <c r="F5" s="274"/>
      <c r="G5" s="261" t="s">
        <v>11</v>
      </c>
      <c r="H5" s="261"/>
      <c r="I5" s="261" t="s">
        <v>1</v>
      </c>
      <c r="J5" s="261"/>
      <c r="K5" s="263" t="s">
        <v>2</v>
      </c>
    </row>
    <row r="6" spans="1:24">
      <c r="A6" s="275"/>
      <c r="B6" s="276"/>
      <c r="C6" s="276"/>
      <c r="D6" s="276"/>
      <c r="E6" s="276"/>
      <c r="F6" s="276"/>
      <c r="G6" s="262"/>
      <c r="H6" s="262"/>
      <c r="I6" s="262"/>
      <c r="J6" s="262"/>
      <c r="K6" s="264"/>
    </row>
    <row r="7" spans="1:24" ht="34.5" customHeight="1" thickBot="1">
      <c r="A7" s="277"/>
      <c r="B7" s="278"/>
      <c r="C7" s="278"/>
      <c r="D7" s="278"/>
      <c r="E7" s="278"/>
      <c r="F7" s="278"/>
      <c r="G7" s="1" t="s">
        <v>3</v>
      </c>
      <c r="H7" s="1" t="s">
        <v>4</v>
      </c>
      <c r="I7" s="1" t="s">
        <v>3</v>
      </c>
      <c r="J7" s="1" t="s">
        <v>4</v>
      </c>
      <c r="K7" s="265"/>
    </row>
    <row r="8" spans="1:24" ht="20.100000000000001" customHeight="1">
      <c r="A8" s="266" t="s">
        <v>66</v>
      </c>
      <c r="B8" s="267"/>
      <c r="C8" s="267"/>
      <c r="D8" s="267"/>
      <c r="E8" s="267"/>
      <c r="F8" s="267"/>
      <c r="G8" s="7">
        <v>14</v>
      </c>
      <c r="H8" s="7">
        <v>11</v>
      </c>
      <c r="I8" s="7">
        <v>14</v>
      </c>
      <c r="J8" s="7">
        <v>11</v>
      </c>
      <c r="K8" s="8">
        <f>(I8+3+J8/12)*2%</f>
        <v>0.35833333333333334</v>
      </c>
    </row>
    <row r="9" spans="1:24" ht="20.100000000000001" customHeight="1">
      <c r="A9" s="268" t="s">
        <v>65</v>
      </c>
      <c r="B9" s="269"/>
      <c r="C9" s="269"/>
      <c r="D9" s="269"/>
      <c r="E9" s="269"/>
      <c r="F9" s="269"/>
      <c r="G9" s="9">
        <v>3</v>
      </c>
      <c r="H9" s="9"/>
      <c r="I9" s="9"/>
      <c r="J9" s="9"/>
      <c r="K9" s="10">
        <f>G9*2%</f>
        <v>0.06</v>
      </c>
    </row>
    <row r="10" spans="1:24" ht="20.100000000000001" customHeight="1" thickBot="1">
      <c r="A10" s="270" t="s">
        <v>67</v>
      </c>
      <c r="B10" s="271"/>
      <c r="C10" s="271"/>
      <c r="D10" s="271"/>
      <c r="E10" s="271"/>
      <c r="F10" s="271"/>
      <c r="G10" s="9">
        <v>43</v>
      </c>
      <c r="H10" s="9">
        <v>6</v>
      </c>
      <c r="I10" s="9"/>
      <c r="J10" s="9"/>
      <c r="K10" s="10">
        <v>0.8</v>
      </c>
    </row>
    <row r="11" spans="1:24" ht="21" customHeight="1" thickBo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72"/>
    </row>
    <row r="12" spans="1:24" ht="20.100000000000001" customHeight="1">
      <c r="A12" s="405" t="s">
        <v>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7"/>
    </row>
    <row r="13" spans="1:24" ht="20.100000000000001" customHeight="1" thickBot="1">
      <c r="A13" s="20" t="s">
        <v>8</v>
      </c>
      <c r="B13" s="366">
        <v>6478.01</v>
      </c>
      <c r="C13" s="366"/>
      <c r="D13" s="21" t="s">
        <v>9</v>
      </c>
      <c r="E13" s="19">
        <v>745.76</v>
      </c>
      <c r="F13" s="19"/>
      <c r="G13" s="408" t="s">
        <v>10</v>
      </c>
      <c r="H13" s="408"/>
      <c r="I13" s="408"/>
      <c r="J13" s="367">
        <v>826.33</v>
      </c>
      <c r="K13" s="409"/>
    </row>
    <row r="14" spans="1:24" ht="36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</row>
    <row r="15" spans="1:24" ht="59.25" customHeight="1" thickBot="1">
      <c r="A15" s="249" t="s">
        <v>45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24" ht="22.5" customHeight="1" thickBot="1">
      <c r="A16" s="410" t="s">
        <v>12</v>
      </c>
      <c r="B16" s="411"/>
      <c r="C16" s="411"/>
      <c r="D16" s="411"/>
      <c r="E16" s="411"/>
      <c r="F16" s="87"/>
      <c r="G16" s="411" t="s">
        <v>20</v>
      </c>
      <c r="H16" s="411"/>
      <c r="I16" s="411"/>
      <c r="J16" s="411" t="s">
        <v>21</v>
      </c>
      <c r="K16" s="412"/>
    </row>
    <row r="17" spans="1:11" ht="18" customHeight="1">
      <c r="A17" s="303" t="s">
        <v>13</v>
      </c>
      <c r="B17" s="304"/>
      <c r="C17" s="304"/>
      <c r="D17" s="304"/>
      <c r="E17" s="304"/>
      <c r="F17" s="15"/>
      <c r="G17" s="288">
        <f>B13-E13</f>
        <v>5732.25</v>
      </c>
      <c r="H17" s="288"/>
      <c r="I17" s="288"/>
      <c r="J17" s="288">
        <f>G17*12</f>
        <v>68787</v>
      </c>
      <c r="K17" s="289"/>
    </row>
    <row r="18" spans="1:11" ht="18" customHeight="1">
      <c r="A18" s="305" t="s">
        <v>14</v>
      </c>
      <c r="B18" s="306"/>
      <c r="C18" s="306"/>
      <c r="D18" s="306"/>
      <c r="E18" s="306"/>
      <c r="F18" s="13"/>
      <c r="G18" s="290">
        <f>(B13-J13)/10</f>
        <v>565.16800000000001</v>
      </c>
      <c r="H18" s="290"/>
      <c r="I18" s="290"/>
      <c r="J18" s="290">
        <f t="shared" ref="J18:J24" si="0">G18*12</f>
        <v>6782.0159999999996</v>
      </c>
      <c r="K18" s="291"/>
    </row>
    <row r="19" spans="1:11" ht="18" customHeight="1">
      <c r="A19" s="305" t="s">
        <v>15</v>
      </c>
      <c r="B19" s="306"/>
      <c r="C19" s="306"/>
      <c r="D19" s="306"/>
      <c r="E19" s="306"/>
      <c r="F19" s="13"/>
      <c r="G19" s="290" t="s">
        <v>22</v>
      </c>
      <c r="H19" s="290"/>
      <c r="I19" s="290"/>
      <c r="J19" s="290" t="s">
        <v>22</v>
      </c>
      <c r="K19" s="291"/>
    </row>
    <row r="20" spans="1:11" ht="18" customHeight="1">
      <c r="A20" s="296" t="s">
        <v>16</v>
      </c>
      <c r="B20" s="297"/>
      <c r="C20" s="297"/>
      <c r="D20" s="297"/>
      <c r="E20" s="297"/>
      <c r="F20" s="13"/>
      <c r="G20" s="290">
        <f>G17+G18</f>
        <v>6297.4179999999997</v>
      </c>
      <c r="H20" s="290"/>
      <c r="I20" s="290"/>
      <c r="J20" s="290">
        <f t="shared" si="0"/>
        <v>75569.016000000003</v>
      </c>
      <c r="K20" s="291"/>
    </row>
    <row r="21" spans="1:11" ht="18" customHeight="1">
      <c r="A21" s="296" t="s">
        <v>17</v>
      </c>
      <c r="B21" s="297"/>
      <c r="C21" s="297"/>
      <c r="D21" s="297"/>
      <c r="E21" s="297"/>
      <c r="F21" s="13"/>
      <c r="G21" s="290">
        <f>G20*18%</f>
        <v>1133.5352399999999</v>
      </c>
      <c r="H21" s="290"/>
      <c r="I21" s="290"/>
      <c r="J21" s="290">
        <f t="shared" si="0"/>
        <v>13602.422879999998</v>
      </c>
      <c r="K21" s="291"/>
    </row>
    <row r="22" spans="1:11" ht="18" customHeight="1">
      <c r="A22" s="296" t="s">
        <v>18</v>
      </c>
      <c r="B22" s="297"/>
      <c r="C22" s="297"/>
      <c r="D22" s="297"/>
      <c r="E22" s="297"/>
      <c r="F22" s="13"/>
      <c r="G22" s="290">
        <v>745.76</v>
      </c>
      <c r="H22" s="290"/>
      <c r="I22" s="290"/>
      <c r="J22" s="290">
        <f t="shared" si="0"/>
        <v>8949.119999999999</v>
      </c>
      <c r="K22" s="291"/>
    </row>
    <row r="23" spans="1:11" ht="18" customHeight="1" thickBot="1">
      <c r="A23" s="298" t="s">
        <v>19</v>
      </c>
      <c r="B23" s="299"/>
      <c r="C23" s="299"/>
      <c r="D23" s="299"/>
      <c r="E23" s="299"/>
      <c r="F23" s="16"/>
      <c r="G23" s="292">
        <f>SUM(G20:I22)</f>
        <v>8176.71324</v>
      </c>
      <c r="H23" s="292"/>
      <c r="I23" s="292"/>
      <c r="J23" s="292">
        <f t="shared" si="0"/>
        <v>98120.558879999997</v>
      </c>
      <c r="K23" s="293"/>
    </row>
    <row r="24" spans="1:11" ht="26.25" customHeight="1" thickBot="1">
      <c r="A24" s="402" t="s">
        <v>23</v>
      </c>
      <c r="B24" s="403"/>
      <c r="C24" s="403"/>
      <c r="D24" s="403"/>
      <c r="E24" s="403"/>
      <c r="F24" s="88"/>
      <c r="G24" s="247">
        <f>G23*K8</f>
        <v>2929.9889109999999</v>
      </c>
      <c r="H24" s="247"/>
      <c r="I24" s="247"/>
      <c r="J24" s="279">
        <f t="shared" si="0"/>
        <v>35159.866931999997</v>
      </c>
      <c r="K24" s="337"/>
    </row>
    <row r="25" spans="1:11" ht="27.7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1" ht="33.75" customHeight="1" thickBot="1">
      <c r="A26" s="249" t="s">
        <v>69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</row>
    <row r="27" spans="1:11" ht="24" customHeight="1" thickBot="1">
      <c r="A27" s="383" t="s">
        <v>73</v>
      </c>
      <c r="B27" s="384"/>
      <c r="C27" s="384"/>
      <c r="D27" s="384"/>
      <c r="E27" s="384"/>
      <c r="F27" s="384"/>
      <c r="G27" s="384"/>
      <c r="H27" s="384"/>
      <c r="I27" s="384"/>
      <c r="J27" s="384"/>
      <c r="K27" s="401"/>
    </row>
    <row r="28" spans="1:11" ht="30" customHeight="1" thickBot="1">
      <c r="A28" s="25" t="s">
        <v>27</v>
      </c>
      <c r="B28" s="280" t="s">
        <v>47</v>
      </c>
      <c r="C28" s="280"/>
      <c r="D28" s="53" t="s">
        <v>48</v>
      </c>
      <c r="E28" s="430" t="s">
        <v>72</v>
      </c>
      <c r="F28" s="431"/>
      <c r="G28" s="431"/>
      <c r="H28" s="432"/>
      <c r="I28" s="320" t="s">
        <v>70</v>
      </c>
      <c r="J28" s="320"/>
      <c r="K28" s="68" t="s">
        <v>71</v>
      </c>
    </row>
    <row r="29" spans="1:11">
      <c r="A29" s="31">
        <v>1993</v>
      </c>
      <c r="B29" s="362">
        <f>41734.38/14*13</f>
        <v>38753.352857142854</v>
      </c>
      <c r="C29" s="362"/>
      <c r="D29" s="69">
        <v>360</v>
      </c>
      <c r="E29" s="363">
        <f>B29/360*D29</f>
        <v>38753.352857142854</v>
      </c>
      <c r="F29" s="363"/>
      <c r="G29" s="363"/>
      <c r="H29" s="363"/>
      <c r="I29" s="404">
        <v>1.9827999999999999</v>
      </c>
      <c r="J29" s="404"/>
      <c r="K29" s="67">
        <f>E29*I29</f>
        <v>76840.148045142851</v>
      </c>
    </row>
    <row r="30" spans="1:11">
      <c r="A30" s="35">
        <v>1994</v>
      </c>
      <c r="B30" s="309">
        <f>38587.48/14*13</f>
        <v>35831.231428571431</v>
      </c>
      <c r="C30" s="309"/>
      <c r="D30" s="70">
        <v>360</v>
      </c>
      <c r="E30" s="290">
        <f>B30/360*D30</f>
        <v>35831.231428571431</v>
      </c>
      <c r="F30" s="290"/>
      <c r="G30" s="290"/>
      <c r="H30" s="290"/>
      <c r="I30" s="310">
        <v>1.8922000000000001</v>
      </c>
      <c r="J30" s="310"/>
      <c r="K30" s="55">
        <f>E30*I30</f>
        <v>67799.856109142871</v>
      </c>
    </row>
    <row r="31" spans="1:11">
      <c r="A31" s="35">
        <v>1995</v>
      </c>
      <c r="B31" s="309">
        <f>44468.87/14*13</f>
        <v>41292.522142857146</v>
      </c>
      <c r="C31" s="309"/>
      <c r="D31" s="70">
        <v>360</v>
      </c>
      <c r="E31" s="290">
        <f t="shared" ref="E31:E57" si="1">B31/360*D31</f>
        <v>41292.522142857146</v>
      </c>
      <c r="F31" s="290"/>
      <c r="G31" s="290"/>
      <c r="H31" s="290"/>
      <c r="I31" s="310">
        <v>1.7810999999999999</v>
      </c>
      <c r="J31" s="310"/>
      <c r="K31" s="55">
        <f t="shared" ref="K31:K57" si="2">E31*I31</f>
        <v>73546.111188642855</v>
      </c>
    </row>
    <row r="32" spans="1:11">
      <c r="A32" s="35">
        <v>1996</v>
      </c>
      <c r="B32" s="309">
        <f>42556.69/14*13</f>
        <v>39516.926428571431</v>
      </c>
      <c r="C32" s="309"/>
      <c r="D32" s="70">
        <v>360</v>
      </c>
      <c r="E32" s="290">
        <f t="shared" si="1"/>
        <v>39516.926428571431</v>
      </c>
      <c r="F32" s="290"/>
      <c r="G32" s="290"/>
      <c r="H32" s="290"/>
      <c r="I32" s="310">
        <v>1.7003999999999999</v>
      </c>
      <c r="J32" s="310"/>
      <c r="K32" s="55">
        <f t="shared" si="2"/>
        <v>67194.581699142858</v>
      </c>
    </row>
    <row r="33" spans="1:11">
      <c r="A33" s="35">
        <v>1997</v>
      </c>
      <c r="B33" s="309">
        <f>44501.07/14*13</f>
        <v>41322.42214285714</v>
      </c>
      <c r="C33" s="309"/>
      <c r="D33" s="70">
        <v>360</v>
      </c>
      <c r="E33" s="290">
        <f t="shared" si="1"/>
        <v>41322.42214285714</v>
      </c>
      <c r="F33" s="290"/>
      <c r="G33" s="290"/>
      <c r="H33" s="290"/>
      <c r="I33" s="310">
        <v>1.6565000000000001</v>
      </c>
      <c r="J33" s="310"/>
      <c r="K33" s="55">
        <f t="shared" si="2"/>
        <v>68450.592279642849</v>
      </c>
    </row>
    <row r="34" spans="1:11">
      <c r="A34" s="35">
        <v>1998</v>
      </c>
      <c r="B34" s="309">
        <f>43620.57/14*13</f>
        <v>40504.815000000002</v>
      </c>
      <c r="C34" s="309"/>
      <c r="D34" s="70">
        <v>360</v>
      </c>
      <c r="E34" s="290">
        <f t="shared" si="1"/>
        <v>40504.815000000002</v>
      </c>
      <c r="F34" s="290"/>
      <c r="G34" s="290"/>
      <c r="H34" s="290"/>
      <c r="I34" s="310">
        <v>1.6142000000000001</v>
      </c>
      <c r="J34" s="310"/>
      <c r="K34" s="55">
        <f t="shared" si="2"/>
        <v>65382.872373000006</v>
      </c>
    </row>
    <row r="35" spans="1:11">
      <c r="A35" s="35">
        <v>1999</v>
      </c>
      <c r="B35" s="309">
        <f>46322.76/14*13</f>
        <v>43013.991428571433</v>
      </c>
      <c r="C35" s="309"/>
      <c r="D35" s="70">
        <v>360</v>
      </c>
      <c r="E35" s="290">
        <f t="shared" si="1"/>
        <v>43013.991428571433</v>
      </c>
      <c r="F35" s="290"/>
      <c r="G35" s="290"/>
      <c r="H35" s="290"/>
      <c r="I35" s="310">
        <v>1.5760000000000001</v>
      </c>
      <c r="J35" s="310"/>
      <c r="K35" s="55">
        <f t="shared" si="2"/>
        <v>67790.050491428585</v>
      </c>
    </row>
    <row r="36" spans="1:11">
      <c r="A36" s="35">
        <v>2000</v>
      </c>
      <c r="B36" s="309">
        <f>(11672.01+34672.01)/14*13</f>
        <v>43033.732857142859</v>
      </c>
      <c r="C36" s="309"/>
      <c r="D36" s="70">
        <v>360</v>
      </c>
      <c r="E36" s="290">
        <f t="shared" si="1"/>
        <v>43033.732857142859</v>
      </c>
      <c r="F36" s="290"/>
      <c r="G36" s="290"/>
      <c r="H36" s="290"/>
      <c r="I36" s="310">
        <v>1.5230999999999999</v>
      </c>
      <c r="J36" s="310"/>
      <c r="K36" s="55">
        <f t="shared" si="2"/>
        <v>65544.67851471428</v>
      </c>
    </row>
    <row r="37" spans="1:11">
      <c r="A37" s="35">
        <v>2001</v>
      </c>
      <c r="B37" s="309">
        <f>45966/14*13</f>
        <v>42682.714285714283</v>
      </c>
      <c r="C37" s="309"/>
      <c r="D37" s="70">
        <v>360</v>
      </c>
      <c r="E37" s="290">
        <f t="shared" si="1"/>
        <v>42682.714285714283</v>
      </c>
      <c r="F37" s="290"/>
      <c r="G37" s="290"/>
      <c r="H37" s="290"/>
      <c r="I37" s="310">
        <v>1.4709000000000001</v>
      </c>
      <c r="J37" s="310"/>
      <c r="K37" s="55">
        <f t="shared" si="2"/>
        <v>62782.004442857142</v>
      </c>
    </row>
    <row r="38" spans="1:11">
      <c r="A38" s="35">
        <v>2002</v>
      </c>
      <c r="B38" s="309">
        <f>43736/14*13</f>
        <v>40612</v>
      </c>
      <c r="C38" s="309"/>
      <c r="D38" s="70">
        <v>360</v>
      </c>
      <c r="E38" s="290">
        <f t="shared" si="1"/>
        <v>40612</v>
      </c>
      <c r="F38" s="290"/>
      <c r="G38" s="290"/>
      <c r="H38" s="290"/>
      <c r="I38" s="310">
        <v>1.4227000000000001</v>
      </c>
      <c r="J38" s="310"/>
      <c r="K38" s="55">
        <f t="shared" si="2"/>
        <v>57778.6924</v>
      </c>
    </row>
    <row r="39" spans="1:11">
      <c r="A39" s="35">
        <v>2003</v>
      </c>
      <c r="B39" s="309">
        <f>61759/14*13</f>
        <v>57347.642857142862</v>
      </c>
      <c r="C39" s="309"/>
      <c r="D39" s="70">
        <v>360</v>
      </c>
      <c r="E39" s="290">
        <f t="shared" si="1"/>
        <v>57347.64285714287</v>
      </c>
      <c r="F39" s="290"/>
      <c r="G39" s="290"/>
      <c r="H39" s="290"/>
      <c r="I39" s="310">
        <v>1.3763000000000001</v>
      </c>
      <c r="J39" s="310"/>
      <c r="K39" s="55">
        <f t="shared" si="2"/>
        <v>78927.560864285741</v>
      </c>
    </row>
    <row r="40" spans="1:11">
      <c r="A40" s="35">
        <v>2004</v>
      </c>
      <c r="B40" s="309">
        <f>62993/14*13</f>
        <v>58493.5</v>
      </c>
      <c r="C40" s="309"/>
      <c r="D40" s="70">
        <v>360</v>
      </c>
      <c r="E40" s="290">
        <f t="shared" si="1"/>
        <v>58493.5</v>
      </c>
      <c r="F40" s="290"/>
      <c r="G40" s="290"/>
      <c r="H40" s="290"/>
      <c r="I40" s="310">
        <v>1.3384</v>
      </c>
      <c r="J40" s="310"/>
      <c r="K40" s="55">
        <f t="shared" si="2"/>
        <v>78287.700400000002</v>
      </c>
    </row>
    <row r="41" spans="1:11">
      <c r="A41" s="35">
        <v>2005</v>
      </c>
      <c r="B41" s="309">
        <f>73754/14*13</f>
        <v>68485.857142857145</v>
      </c>
      <c r="C41" s="309"/>
      <c r="D41" s="70">
        <v>360</v>
      </c>
      <c r="E41" s="290">
        <f t="shared" si="1"/>
        <v>68485.857142857145</v>
      </c>
      <c r="F41" s="290"/>
      <c r="G41" s="290"/>
      <c r="H41" s="290"/>
      <c r="I41" s="310">
        <v>1.3043</v>
      </c>
      <c r="J41" s="310"/>
      <c r="K41" s="55">
        <f t="shared" si="2"/>
        <v>89326.103471428578</v>
      </c>
    </row>
    <row r="42" spans="1:11">
      <c r="A42" s="35">
        <v>2006</v>
      </c>
      <c r="B42" s="309">
        <f>74684/14*13</f>
        <v>69349.428571428565</v>
      </c>
      <c r="C42" s="309"/>
      <c r="D42" s="70">
        <v>360</v>
      </c>
      <c r="E42" s="290">
        <f t="shared" si="1"/>
        <v>69349.428571428565</v>
      </c>
      <c r="F42" s="290"/>
      <c r="G42" s="290"/>
      <c r="H42" s="290"/>
      <c r="I42" s="310">
        <v>1.2672000000000001</v>
      </c>
      <c r="J42" s="310"/>
      <c r="K42" s="55">
        <f t="shared" si="2"/>
        <v>87879.595885714283</v>
      </c>
    </row>
    <row r="43" spans="1:11">
      <c r="A43" s="35">
        <v>2007</v>
      </c>
      <c r="B43" s="309">
        <f>76689/14*13</f>
        <v>71211.21428571429</v>
      </c>
      <c r="C43" s="309"/>
      <c r="D43" s="70">
        <v>360</v>
      </c>
      <c r="E43" s="290">
        <f t="shared" si="1"/>
        <v>71211.21428571429</v>
      </c>
      <c r="F43" s="290"/>
      <c r="G43" s="290"/>
      <c r="H43" s="290"/>
      <c r="I43" s="310">
        <v>1.2339</v>
      </c>
      <c r="J43" s="310"/>
      <c r="K43" s="55">
        <f t="shared" si="2"/>
        <v>87867.517307142858</v>
      </c>
    </row>
    <row r="44" spans="1:11">
      <c r="A44" s="35">
        <v>2008</v>
      </c>
      <c r="B44" s="309">
        <f>88896/14*13</f>
        <v>82546.28571428571</v>
      </c>
      <c r="C44" s="309"/>
      <c r="D44" s="70">
        <v>360</v>
      </c>
      <c r="E44" s="290">
        <f t="shared" si="1"/>
        <v>82546.28571428571</v>
      </c>
      <c r="F44" s="290"/>
      <c r="G44" s="290"/>
      <c r="H44" s="290"/>
      <c r="I44" s="310">
        <v>1.1848000000000001</v>
      </c>
      <c r="J44" s="310"/>
      <c r="K44" s="55">
        <f t="shared" si="2"/>
        <v>97800.839314285709</v>
      </c>
    </row>
    <row r="45" spans="1:11">
      <c r="A45" s="35">
        <v>2009</v>
      </c>
      <c r="B45" s="309">
        <f>90094/14*13</f>
        <v>83658.71428571429</v>
      </c>
      <c r="C45" s="309"/>
      <c r="D45" s="70">
        <v>360</v>
      </c>
      <c r="E45" s="290">
        <f t="shared" si="1"/>
        <v>83658.71428571429</v>
      </c>
      <c r="F45" s="290"/>
      <c r="G45" s="290"/>
      <c r="H45" s="290"/>
      <c r="I45" s="310">
        <v>1.1652</v>
      </c>
      <c r="J45" s="310"/>
      <c r="K45" s="55">
        <f t="shared" si="2"/>
        <v>97479.133885714298</v>
      </c>
    </row>
    <row r="46" spans="1:11">
      <c r="A46" s="35">
        <v>2010</v>
      </c>
      <c r="B46" s="309">
        <f>95222/14*13</f>
        <v>88420.428571428565</v>
      </c>
      <c r="C46" s="309"/>
      <c r="D46" s="70">
        <v>360</v>
      </c>
      <c r="E46" s="290">
        <f t="shared" si="1"/>
        <v>88420.428571428565</v>
      </c>
      <c r="F46" s="290"/>
      <c r="G46" s="290"/>
      <c r="H46" s="290"/>
      <c r="I46" s="310">
        <v>1.1363000000000001</v>
      </c>
      <c r="J46" s="310"/>
      <c r="K46" s="55">
        <f t="shared" si="2"/>
        <v>100472.13298571428</v>
      </c>
    </row>
    <row r="47" spans="1:11">
      <c r="A47" s="35">
        <v>2011</v>
      </c>
      <c r="B47" s="309">
        <f>100270/14*13</f>
        <v>93107.857142857145</v>
      </c>
      <c r="C47" s="309"/>
      <c r="D47" s="70">
        <v>360</v>
      </c>
      <c r="E47" s="290">
        <f t="shared" si="1"/>
        <v>93107.857142857145</v>
      </c>
      <c r="F47" s="290"/>
      <c r="G47" s="290"/>
      <c r="H47" s="290"/>
      <c r="I47" s="310">
        <v>1.0962000000000001</v>
      </c>
      <c r="J47" s="310"/>
      <c r="K47" s="55">
        <f t="shared" si="2"/>
        <v>102064.83300000001</v>
      </c>
    </row>
    <row r="48" spans="1:11">
      <c r="A48" s="35">
        <v>2012</v>
      </c>
      <c r="B48" s="309">
        <f>108095/14*13</f>
        <v>100373.92857142857</v>
      </c>
      <c r="C48" s="309"/>
      <c r="D48" s="70">
        <v>360</v>
      </c>
      <c r="E48" s="290">
        <f t="shared" si="1"/>
        <v>100373.92857142857</v>
      </c>
      <c r="F48" s="290"/>
      <c r="G48" s="290"/>
      <c r="H48" s="290"/>
      <c r="I48" s="310">
        <v>1.0535000000000001</v>
      </c>
      <c r="J48" s="310"/>
      <c r="K48" s="55">
        <f t="shared" si="2"/>
        <v>105743.93375</v>
      </c>
    </row>
    <row r="49" spans="1:11">
      <c r="A49" s="33">
        <v>2013</v>
      </c>
      <c r="B49" s="309">
        <f>108791/14*13</f>
        <v>101020.21428571429</v>
      </c>
      <c r="C49" s="309"/>
      <c r="D49" s="70">
        <v>360</v>
      </c>
      <c r="E49" s="290">
        <f t="shared" si="1"/>
        <v>101020.21428571429</v>
      </c>
      <c r="F49" s="290"/>
      <c r="G49" s="290"/>
      <c r="H49" s="290"/>
      <c r="I49" s="310">
        <v>1.0321</v>
      </c>
      <c r="J49" s="310"/>
      <c r="K49" s="55">
        <f t="shared" si="2"/>
        <v>104262.96316428573</v>
      </c>
    </row>
    <row r="50" spans="1:11">
      <c r="A50" s="33">
        <v>2014</v>
      </c>
      <c r="B50" s="309">
        <f>110870/14*13</f>
        <v>102950.71428571429</v>
      </c>
      <c r="C50" s="309"/>
      <c r="D50" s="70">
        <v>360</v>
      </c>
      <c r="E50" s="290">
        <f t="shared" si="1"/>
        <v>102950.7142857143</v>
      </c>
      <c r="F50" s="290"/>
      <c r="G50" s="290"/>
      <c r="H50" s="290"/>
      <c r="I50" s="310">
        <v>1.02</v>
      </c>
      <c r="J50" s="310"/>
      <c r="K50" s="55">
        <f t="shared" si="2"/>
        <v>105009.7285714286</v>
      </c>
    </row>
    <row r="51" spans="1:11">
      <c r="A51" s="33">
        <v>2015</v>
      </c>
      <c r="B51" s="309">
        <f>111000/14*13</f>
        <v>103071.42857142857</v>
      </c>
      <c r="C51" s="309"/>
      <c r="D51" s="70">
        <v>360</v>
      </c>
      <c r="E51" s="290">
        <f t="shared" si="1"/>
        <v>103071.42857142857</v>
      </c>
      <c r="F51" s="290"/>
      <c r="G51" s="290"/>
      <c r="H51" s="290"/>
      <c r="I51" s="310">
        <v>1.01</v>
      </c>
      <c r="J51" s="310"/>
      <c r="K51" s="55">
        <f t="shared" si="2"/>
        <v>104102.14285714286</v>
      </c>
    </row>
    <row r="52" spans="1:11">
      <c r="A52" s="33">
        <v>2016</v>
      </c>
      <c r="B52" s="309">
        <f>112000/14*13</f>
        <v>104000</v>
      </c>
      <c r="C52" s="309"/>
      <c r="D52" s="70">
        <v>360</v>
      </c>
      <c r="E52" s="290">
        <f t="shared" si="1"/>
        <v>104000.00000000001</v>
      </c>
      <c r="F52" s="290"/>
      <c r="G52" s="290"/>
      <c r="H52" s="290"/>
      <c r="I52" s="310">
        <v>1</v>
      </c>
      <c r="J52" s="310"/>
      <c r="K52" s="55">
        <f t="shared" si="2"/>
        <v>104000.00000000001</v>
      </c>
    </row>
    <row r="53" spans="1:11">
      <c r="A53" s="38">
        <v>2017</v>
      </c>
      <c r="B53" s="309">
        <f>114000/14*13</f>
        <v>105857.14285714286</v>
      </c>
      <c r="C53" s="309"/>
      <c r="D53" s="70">
        <v>360</v>
      </c>
      <c r="E53" s="290">
        <f t="shared" si="1"/>
        <v>105857.14285714286</v>
      </c>
      <c r="F53" s="290"/>
      <c r="G53" s="290"/>
      <c r="H53" s="290"/>
      <c r="I53" s="310">
        <v>1</v>
      </c>
      <c r="J53" s="310"/>
      <c r="K53" s="55">
        <f t="shared" si="2"/>
        <v>105857.14285714286</v>
      </c>
    </row>
    <row r="54" spans="1:11">
      <c r="A54" s="38">
        <v>2018</v>
      </c>
      <c r="B54" s="309">
        <f>118000/14*13</f>
        <v>109571.42857142858</v>
      </c>
      <c r="C54" s="309"/>
      <c r="D54" s="70">
        <v>360</v>
      </c>
      <c r="E54" s="290">
        <f t="shared" si="1"/>
        <v>109571.42857142858</v>
      </c>
      <c r="F54" s="290"/>
      <c r="G54" s="290"/>
      <c r="H54" s="290"/>
      <c r="I54" s="310">
        <v>1</v>
      </c>
      <c r="J54" s="310"/>
      <c r="K54" s="55">
        <f t="shared" si="2"/>
        <v>109571.42857142858</v>
      </c>
    </row>
    <row r="55" spans="1:11">
      <c r="A55" s="38">
        <v>2019</v>
      </c>
      <c r="B55" s="309">
        <f>122000/14*13</f>
        <v>113285.71428571428</v>
      </c>
      <c r="C55" s="309"/>
      <c r="D55" s="70">
        <v>360</v>
      </c>
      <c r="E55" s="290">
        <f t="shared" si="1"/>
        <v>113285.71428571428</v>
      </c>
      <c r="F55" s="290"/>
      <c r="G55" s="290"/>
      <c r="H55" s="290"/>
      <c r="I55" s="310">
        <v>1</v>
      </c>
      <c r="J55" s="310"/>
      <c r="K55" s="55">
        <f t="shared" si="2"/>
        <v>113285.71428571428</v>
      </c>
    </row>
    <row r="56" spans="1:11">
      <c r="A56" s="38">
        <v>2020</v>
      </c>
      <c r="B56" s="309">
        <f>128000/14*13</f>
        <v>118857.14285714286</v>
      </c>
      <c r="C56" s="309"/>
      <c r="D56" s="70">
        <v>360</v>
      </c>
      <c r="E56" s="290">
        <f t="shared" si="1"/>
        <v>118857.14285714287</v>
      </c>
      <c r="F56" s="290"/>
      <c r="G56" s="290"/>
      <c r="H56" s="290"/>
      <c r="I56" s="310">
        <v>1</v>
      </c>
      <c r="J56" s="310"/>
      <c r="K56" s="55">
        <f t="shared" si="2"/>
        <v>118857.14285714287</v>
      </c>
    </row>
    <row r="57" spans="1:11" ht="15.75" thickBot="1">
      <c r="A57" s="38">
        <v>2021</v>
      </c>
      <c r="B57" s="330">
        <f>130000/14*13</f>
        <v>120714.28571428572</v>
      </c>
      <c r="C57" s="330"/>
      <c r="D57" s="73">
        <v>213</v>
      </c>
      <c r="E57" s="292">
        <f t="shared" si="1"/>
        <v>71422.619047619053</v>
      </c>
      <c r="F57" s="292"/>
      <c r="G57" s="292"/>
      <c r="H57" s="292"/>
      <c r="I57" s="331">
        <v>1</v>
      </c>
      <c r="J57" s="331"/>
      <c r="K57" s="56">
        <f t="shared" si="2"/>
        <v>71422.619047619053</v>
      </c>
    </row>
    <row r="58" spans="1:11" ht="20.100000000000001" customHeight="1" thickBot="1">
      <c r="A58" s="417" t="s">
        <v>33</v>
      </c>
      <c r="B58" s="418"/>
      <c r="C58" s="418"/>
      <c r="D58" s="84">
        <f>SUM(D29:D57)</f>
        <v>10293</v>
      </c>
      <c r="E58" s="419"/>
      <c r="F58" s="420"/>
      <c r="G58" s="420"/>
      <c r="H58" s="420"/>
      <c r="I58" s="420"/>
      <c r="J58" s="421"/>
      <c r="K58" s="85">
        <f>SUM(K29:K57)</f>
        <v>2535327.8206199049</v>
      </c>
    </row>
    <row r="59" spans="1:11" ht="20.100000000000001" customHeight="1" thickBot="1">
      <c r="A59" s="422" t="s">
        <v>83</v>
      </c>
      <c r="B59" s="423"/>
      <c r="C59" s="423"/>
      <c r="D59" s="348">
        <f>K58/D58*30</f>
        <v>7389.4719341880063</v>
      </c>
      <c r="E59" s="348"/>
      <c r="F59" s="86"/>
      <c r="G59" s="86"/>
      <c r="H59" s="280" t="s">
        <v>82</v>
      </c>
      <c r="I59" s="280"/>
      <c r="J59" s="280"/>
      <c r="K59" s="61">
        <v>4015.51</v>
      </c>
    </row>
    <row r="60" spans="1:11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</row>
    <row r="61" spans="1:11" ht="15.75" thickBot="1">
      <c r="A61" s="413" t="s">
        <v>75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</row>
    <row r="62" spans="1:11">
      <c r="A62" s="424" t="s">
        <v>3</v>
      </c>
      <c r="B62" s="426" t="s">
        <v>76</v>
      </c>
      <c r="C62" s="426"/>
      <c r="D62" s="414" t="s">
        <v>79</v>
      </c>
      <c r="E62" s="414"/>
      <c r="F62" s="414"/>
      <c r="G62" s="414"/>
      <c r="H62" s="414"/>
      <c r="I62" s="428" t="s">
        <v>78</v>
      </c>
      <c r="J62" s="428"/>
      <c r="K62" s="415" t="s">
        <v>77</v>
      </c>
    </row>
    <row r="63" spans="1:11" ht="15.75" thickBot="1">
      <c r="A63" s="425"/>
      <c r="B63" s="427"/>
      <c r="C63" s="427"/>
      <c r="D63" s="408" t="s">
        <v>80</v>
      </c>
      <c r="E63" s="408"/>
      <c r="F63" s="72"/>
      <c r="G63" s="408" t="s">
        <v>81</v>
      </c>
      <c r="H63" s="408"/>
      <c r="I63" s="429"/>
      <c r="J63" s="429"/>
      <c r="K63" s="416"/>
    </row>
    <row r="64" spans="1:11">
      <c r="A64" s="31">
        <v>3</v>
      </c>
      <c r="B64" s="363">
        <f>K59</f>
        <v>4015.51</v>
      </c>
      <c r="C64" s="364"/>
      <c r="D64" s="433">
        <v>0.02</v>
      </c>
      <c r="E64" s="364"/>
      <c r="F64" s="54"/>
      <c r="G64" s="433">
        <f>A64*D64</f>
        <v>0.06</v>
      </c>
      <c r="H64" s="433"/>
      <c r="I64" s="363">
        <f>B64*G64</f>
        <v>240.9306</v>
      </c>
      <c r="J64" s="363"/>
      <c r="K64" s="42">
        <f>I64*12</f>
        <v>2891.1671999999999</v>
      </c>
    </row>
    <row r="65" spans="1:11">
      <c r="A65" s="33">
        <v>3</v>
      </c>
      <c r="B65" s="290">
        <f>B64*33%</f>
        <v>1325.1183000000001</v>
      </c>
      <c r="C65" s="290"/>
      <c r="D65" s="339">
        <v>1.6E-2</v>
      </c>
      <c r="E65" s="339"/>
      <c r="F65" s="52"/>
      <c r="G65" s="339">
        <f t="shared" ref="G65:G66" si="3">A65*D65</f>
        <v>4.8000000000000001E-2</v>
      </c>
      <c r="H65" s="339"/>
      <c r="I65" s="290">
        <f t="shared" ref="I65:I67" si="4">B65*G65</f>
        <v>63.605678400000002</v>
      </c>
      <c r="J65" s="290"/>
      <c r="K65" s="55">
        <f t="shared" ref="K65:K68" si="5">I65*12</f>
        <v>763.26814080000008</v>
      </c>
    </row>
    <row r="66" spans="1:11">
      <c r="A66" s="33">
        <v>3</v>
      </c>
      <c r="B66" s="290">
        <f>B64*33%</f>
        <v>1325.1183000000001</v>
      </c>
      <c r="C66" s="290"/>
      <c r="D66" s="339">
        <v>1.35E-2</v>
      </c>
      <c r="E66" s="339"/>
      <c r="F66" s="52"/>
      <c r="G66" s="339">
        <f t="shared" si="3"/>
        <v>4.0500000000000001E-2</v>
      </c>
      <c r="H66" s="339"/>
      <c r="I66" s="290">
        <f t="shared" si="4"/>
        <v>53.667291150000004</v>
      </c>
      <c r="J66" s="290"/>
      <c r="K66" s="55">
        <f t="shared" si="5"/>
        <v>644.00749380000002</v>
      </c>
    </row>
    <row r="67" spans="1:11" ht="15.75" thickBot="1">
      <c r="A67" s="17">
        <v>3</v>
      </c>
      <c r="B67" s="366">
        <f>D59-B64-B65-B66</f>
        <v>723.72533418800595</v>
      </c>
      <c r="C67" s="366"/>
      <c r="D67" s="437">
        <v>1.0999999999999999E-2</v>
      </c>
      <c r="E67" s="437"/>
      <c r="F67" s="51"/>
      <c r="G67" s="437">
        <f t="shared" ref="G67" si="6">A67*D67</f>
        <v>3.3000000000000002E-2</v>
      </c>
      <c r="H67" s="437"/>
      <c r="I67" s="366">
        <f t="shared" si="4"/>
        <v>23.882936028204199</v>
      </c>
      <c r="J67" s="366"/>
      <c r="K67" s="71">
        <f t="shared" si="5"/>
        <v>286.59523233845039</v>
      </c>
    </row>
    <row r="68" spans="1:11" ht="15.75" thickBot="1">
      <c r="A68" s="28" t="s">
        <v>44</v>
      </c>
      <c r="B68" s="294">
        <f>SUM(B64:C67)</f>
        <v>7389.4719341880063</v>
      </c>
      <c r="C68" s="334"/>
      <c r="D68" s="334"/>
      <c r="E68" s="334"/>
      <c r="F68" s="334"/>
      <c r="G68" s="334"/>
      <c r="H68" s="334"/>
      <c r="I68" s="302">
        <f>SUM(I64:J67)</f>
        <v>382.0865055782042</v>
      </c>
      <c r="J68" s="302"/>
      <c r="K68" s="50">
        <f t="shared" si="5"/>
        <v>4585.0380669384504</v>
      </c>
    </row>
    <row r="69" spans="1:11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</row>
    <row r="70" spans="1:11" ht="21" customHeight="1" thickBot="1">
      <c r="A70" s="436" t="s">
        <v>84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</row>
    <row r="71" spans="1:11" ht="17.25" customHeight="1" thickBot="1">
      <c r="A71" s="383" t="s">
        <v>85</v>
      </c>
      <c r="B71" s="384"/>
      <c r="C71" s="384"/>
      <c r="D71" s="384"/>
      <c r="E71" s="384"/>
      <c r="F71" s="384"/>
      <c r="G71" s="384"/>
      <c r="H71" s="384"/>
      <c r="I71" s="384"/>
      <c r="J71" s="384"/>
      <c r="K71" s="401"/>
    </row>
    <row r="72" spans="1:11" ht="15.75" thickBot="1">
      <c r="A72" s="25" t="s">
        <v>27</v>
      </c>
      <c r="B72" s="280" t="s">
        <v>47</v>
      </c>
      <c r="C72" s="280"/>
      <c r="D72" s="53" t="s">
        <v>49</v>
      </c>
      <c r="E72" s="53" t="s">
        <v>48</v>
      </c>
      <c r="F72" s="39"/>
      <c r="G72" s="320" t="s">
        <v>53</v>
      </c>
      <c r="H72" s="320"/>
      <c r="I72" s="320" t="s">
        <v>54</v>
      </c>
      <c r="J72" s="320"/>
      <c r="K72" s="40" t="s">
        <v>55</v>
      </c>
    </row>
    <row r="73" spans="1:11">
      <c r="A73" s="31">
        <v>1996</v>
      </c>
      <c r="B73" s="362">
        <f>42556.69</f>
        <v>42556.69</v>
      </c>
      <c r="C73" s="362"/>
      <c r="D73" s="75">
        <v>0.33</v>
      </c>
      <c r="E73" s="65">
        <v>360</v>
      </c>
      <c r="F73" s="65"/>
      <c r="G73" s="363">
        <f>B73/360*D73*E73</f>
        <v>14043.707700000001</v>
      </c>
      <c r="H73" s="363"/>
      <c r="I73" s="364"/>
      <c r="J73" s="364"/>
      <c r="K73" s="42">
        <f>G73</f>
        <v>14043.707700000001</v>
      </c>
    </row>
    <row r="74" spans="1:11">
      <c r="A74" s="35">
        <v>1997</v>
      </c>
      <c r="B74" s="309">
        <f>44501.07</f>
        <v>44501.07</v>
      </c>
      <c r="C74" s="309"/>
      <c r="D74" s="63">
        <v>0.33</v>
      </c>
      <c r="E74" s="66">
        <v>360</v>
      </c>
      <c r="F74" s="66"/>
      <c r="G74" s="290">
        <f>B74/360*D74*E74</f>
        <v>14685.3531</v>
      </c>
      <c r="H74" s="290"/>
      <c r="I74" s="434">
        <v>1.0620540000000001</v>
      </c>
      <c r="J74" s="435"/>
      <c r="K74" s="59">
        <f>K73*I74+G74</f>
        <v>29600.529037615801</v>
      </c>
    </row>
    <row r="75" spans="1:11">
      <c r="A75" s="35">
        <v>1998</v>
      </c>
      <c r="B75" s="309">
        <f>43620.57</f>
        <v>43620.57</v>
      </c>
      <c r="C75" s="309"/>
      <c r="D75" s="63">
        <v>0.33</v>
      </c>
      <c r="E75" s="66">
        <v>360</v>
      </c>
      <c r="F75" s="66"/>
      <c r="G75" s="290">
        <f>B75/360*D75*E75</f>
        <v>14394.788100000002</v>
      </c>
      <c r="H75" s="290"/>
      <c r="I75" s="434">
        <v>1.055871</v>
      </c>
      <c r="J75" s="435"/>
      <c r="K75" s="59">
        <f>K74*I75+G75</f>
        <v>45649.128295476432</v>
      </c>
    </row>
    <row r="76" spans="1:11">
      <c r="A76" s="35">
        <v>1999</v>
      </c>
      <c r="B76" s="309">
        <f>46322.76</f>
        <v>46322.76</v>
      </c>
      <c r="C76" s="309"/>
      <c r="D76" s="63">
        <v>0.33</v>
      </c>
      <c r="E76" s="66">
        <v>360</v>
      </c>
      <c r="F76" s="66"/>
      <c r="G76" s="290">
        <f>B76/360*D76*E76</f>
        <v>15286.510800000004</v>
      </c>
      <c r="H76" s="290"/>
      <c r="I76" s="434">
        <v>1.0535969999999999</v>
      </c>
      <c r="J76" s="435"/>
      <c r="K76" s="59">
        <f>K75*I76+G76</f>
        <v>63382.295424729084</v>
      </c>
    </row>
    <row r="77" spans="1:11">
      <c r="A77" s="35">
        <v>2000</v>
      </c>
      <c r="B77" s="309">
        <f>(11672.01+34672.01)</f>
        <v>46344.020000000004</v>
      </c>
      <c r="C77" s="309"/>
      <c r="D77" s="63">
        <v>0.33</v>
      </c>
      <c r="E77" s="66">
        <v>360</v>
      </c>
      <c r="F77" s="66"/>
      <c r="G77" s="290">
        <f>B77/360*D77*E77</f>
        <v>15293.526600000001</v>
      </c>
      <c r="H77" s="290"/>
      <c r="I77" s="434">
        <v>1.056503</v>
      </c>
      <c r="J77" s="435"/>
      <c r="K77" s="59">
        <f>K76*I77+G77</f>
        <v>82257.111863112543</v>
      </c>
    </row>
    <row r="78" spans="1:11">
      <c r="A78" s="35">
        <v>2001</v>
      </c>
      <c r="B78" s="309">
        <f>45966</f>
        <v>45966</v>
      </c>
      <c r="C78" s="309"/>
      <c r="D78" s="63">
        <v>0.33</v>
      </c>
      <c r="E78" s="66">
        <v>360</v>
      </c>
      <c r="F78" s="77"/>
      <c r="G78" s="290">
        <f t="shared" ref="G78:G98" si="7">B78/360*D78*E78</f>
        <v>15168.78</v>
      </c>
      <c r="H78" s="290"/>
      <c r="I78" s="434">
        <v>1.0517810000000001</v>
      </c>
      <c r="J78" s="435"/>
      <c r="K78" s="59">
        <f t="shared" ref="K78:K98" si="8">K77*I78+G78</f>
        <v>101685.24737249638</v>
      </c>
    </row>
    <row r="79" spans="1:11">
      <c r="A79" s="35">
        <v>2002</v>
      </c>
      <c r="B79" s="309">
        <f>43736</f>
        <v>43736</v>
      </c>
      <c r="C79" s="309"/>
      <c r="D79" s="63">
        <v>0.33</v>
      </c>
      <c r="E79" s="66">
        <v>360</v>
      </c>
      <c r="F79" s="77"/>
      <c r="G79" s="290">
        <f t="shared" si="7"/>
        <v>14432.880000000001</v>
      </c>
      <c r="H79" s="290"/>
      <c r="I79" s="397">
        <v>1.0477810000000001</v>
      </c>
      <c r="J79" s="398"/>
      <c r="K79" s="59">
        <f t="shared" si="8"/>
        <v>120976.75017720164</v>
      </c>
    </row>
    <row r="80" spans="1:11">
      <c r="A80" s="35">
        <v>2003</v>
      </c>
      <c r="B80" s="309">
        <f>61759</f>
        <v>61759</v>
      </c>
      <c r="C80" s="309"/>
      <c r="D80" s="63">
        <v>0.33</v>
      </c>
      <c r="E80" s="66">
        <v>360</v>
      </c>
      <c r="F80" s="77"/>
      <c r="G80" s="290">
        <f t="shared" si="7"/>
        <v>20380.47</v>
      </c>
      <c r="H80" s="290"/>
      <c r="I80" s="397">
        <v>1.043698</v>
      </c>
      <c r="J80" s="398"/>
      <c r="K80" s="59">
        <f t="shared" si="8"/>
        <v>146643.66220644501</v>
      </c>
    </row>
    <row r="81" spans="1:11">
      <c r="A81" s="35">
        <v>2004</v>
      </c>
      <c r="B81" s="309">
        <f>62993</f>
        <v>62993</v>
      </c>
      <c r="C81" s="309"/>
      <c r="D81" s="63">
        <v>0.33</v>
      </c>
      <c r="E81" s="66">
        <v>360</v>
      </c>
      <c r="F81" s="77"/>
      <c r="G81" s="290">
        <f t="shared" si="7"/>
        <v>20787.689999999999</v>
      </c>
      <c r="H81" s="290"/>
      <c r="I81" s="397">
        <v>1.041614</v>
      </c>
      <c r="J81" s="398"/>
      <c r="K81" s="59">
        <f t="shared" si="8"/>
        <v>173533.781565504</v>
      </c>
    </row>
    <row r="82" spans="1:11">
      <c r="A82" s="35">
        <v>2005</v>
      </c>
      <c r="B82" s="309">
        <f>73754</f>
        <v>73754</v>
      </c>
      <c r="C82" s="309"/>
      <c r="D82" s="63">
        <v>0.33</v>
      </c>
      <c r="E82" s="66">
        <v>360</v>
      </c>
      <c r="F82" s="77"/>
      <c r="G82" s="290">
        <f t="shared" si="7"/>
        <v>24338.820000000003</v>
      </c>
      <c r="H82" s="290"/>
      <c r="I82" s="397">
        <v>1.039272</v>
      </c>
      <c r="J82" s="398"/>
      <c r="K82" s="59">
        <f t="shared" si="8"/>
        <v>204687.62023514448</v>
      </c>
    </row>
    <row r="83" spans="1:11">
      <c r="A83" s="35">
        <v>2006</v>
      </c>
      <c r="B83" s="309">
        <f>74684</f>
        <v>74684</v>
      </c>
      <c r="C83" s="309"/>
      <c r="D83" s="63">
        <v>0.33</v>
      </c>
      <c r="E83" s="66">
        <v>360</v>
      </c>
      <c r="F83" s="77"/>
      <c r="G83" s="290">
        <f t="shared" si="7"/>
        <v>24645.72</v>
      </c>
      <c r="H83" s="290"/>
      <c r="I83" s="397">
        <v>1.0405059999999999</v>
      </c>
      <c r="J83" s="398"/>
      <c r="K83" s="59">
        <f t="shared" si="8"/>
        <v>237624.41698038924</v>
      </c>
    </row>
    <row r="84" spans="1:11">
      <c r="A84" s="35">
        <v>2007</v>
      </c>
      <c r="B84" s="309">
        <f>76689</f>
        <v>76689</v>
      </c>
      <c r="C84" s="309"/>
      <c r="D84" s="63">
        <v>0.33</v>
      </c>
      <c r="E84" s="66">
        <v>360</v>
      </c>
      <c r="F84" s="77"/>
      <c r="G84" s="290">
        <f t="shared" si="7"/>
        <v>25307.370000000003</v>
      </c>
      <c r="H84" s="290"/>
      <c r="I84" s="397">
        <v>1.0353859999999999</v>
      </c>
      <c r="J84" s="398"/>
      <c r="K84" s="59">
        <f t="shared" si="8"/>
        <v>271340.3645996573</v>
      </c>
    </row>
    <row r="85" spans="1:11">
      <c r="A85" s="35">
        <v>2008</v>
      </c>
      <c r="B85" s="309">
        <f>88896</f>
        <v>88896</v>
      </c>
      <c r="C85" s="309"/>
      <c r="D85" s="63">
        <v>0.33</v>
      </c>
      <c r="E85" s="66">
        <v>360</v>
      </c>
      <c r="F85" s="77"/>
      <c r="G85" s="290">
        <f t="shared" si="7"/>
        <v>29335.68</v>
      </c>
      <c r="H85" s="290"/>
      <c r="I85" s="397">
        <v>1.0339370000000001</v>
      </c>
      <c r="J85" s="398"/>
      <c r="K85" s="59">
        <f t="shared" si="8"/>
        <v>309884.52255307592</v>
      </c>
    </row>
    <row r="86" spans="1:11">
      <c r="A86" s="35">
        <v>2009</v>
      </c>
      <c r="B86" s="309">
        <f>90094</f>
        <v>90094</v>
      </c>
      <c r="C86" s="309"/>
      <c r="D86" s="63">
        <v>0.33</v>
      </c>
      <c r="E86" s="66">
        <v>360</v>
      </c>
      <c r="F86" s="77"/>
      <c r="G86" s="290">
        <f t="shared" si="7"/>
        <v>29731.02</v>
      </c>
      <c r="H86" s="290"/>
      <c r="I86" s="397">
        <v>1.0346249999999999</v>
      </c>
      <c r="J86" s="398"/>
      <c r="K86" s="59">
        <f t="shared" si="8"/>
        <v>350345.29414647614</v>
      </c>
    </row>
    <row r="87" spans="1:11">
      <c r="A87" s="35">
        <v>2010</v>
      </c>
      <c r="B87" s="309">
        <f>95222</f>
        <v>95222</v>
      </c>
      <c r="C87" s="309"/>
      <c r="D87" s="63">
        <v>0.33</v>
      </c>
      <c r="E87" s="66">
        <v>360</v>
      </c>
      <c r="F87" s="77"/>
      <c r="G87" s="290">
        <f t="shared" si="7"/>
        <v>31423.260000000002</v>
      </c>
      <c r="H87" s="290"/>
      <c r="I87" s="397">
        <v>1.033201</v>
      </c>
      <c r="J87" s="398"/>
      <c r="K87" s="59">
        <f t="shared" si="8"/>
        <v>393400.36825743329</v>
      </c>
    </row>
    <row r="88" spans="1:11">
      <c r="A88" s="35">
        <v>2011</v>
      </c>
      <c r="B88" s="309">
        <f>100270</f>
        <v>100270</v>
      </c>
      <c r="C88" s="309"/>
      <c r="D88" s="63">
        <v>0.33</v>
      </c>
      <c r="E88" s="66">
        <v>360</v>
      </c>
      <c r="F88" s="77"/>
      <c r="G88" s="290">
        <f t="shared" si="7"/>
        <v>33089.100000000006</v>
      </c>
      <c r="H88" s="290"/>
      <c r="I88" s="397">
        <v>1.017935</v>
      </c>
      <c r="J88" s="398"/>
      <c r="K88" s="59">
        <f t="shared" si="8"/>
        <v>433545.10386213043</v>
      </c>
    </row>
    <row r="89" spans="1:11">
      <c r="A89" s="35">
        <v>2012</v>
      </c>
      <c r="B89" s="309">
        <f>108095</f>
        <v>108095</v>
      </c>
      <c r="C89" s="309"/>
      <c r="D89" s="63">
        <v>0.33</v>
      </c>
      <c r="E89" s="66">
        <v>360</v>
      </c>
      <c r="F89" s="77"/>
      <c r="G89" s="290">
        <f t="shared" si="7"/>
        <v>35671.350000000006</v>
      </c>
      <c r="H89" s="290"/>
      <c r="I89" s="395">
        <v>1.016165</v>
      </c>
      <c r="J89" s="396"/>
      <c r="K89" s="59">
        <f t="shared" si="8"/>
        <v>476224.71046606172</v>
      </c>
    </row>
    <row r="90" spans="1:11">
      <c r="A90" s="33">
        <v>2013</v>
      </c>
      <c r="B90" s="309">
        <f>108791</f>
        <v>108791</v>
      </c>
      <c r="C90" s="309"/>
      <c r="D90" s="63">
        <v>0.33</v>
      </c>
      <c r="E90" s="66">
        <v>360</v>
      </c>
      <c r="F90" s="77"/>
      <c r="G90" s="290">
        <f t="shared" si="7"/>
        <v>35901.03</v>
      </c>
      <c r="H90" s="290"/>
      <c r="I90" s="395">
        <v>1.011344</v>
      </c>
      <c r="J90" s="396"/>
      <c r="K90" s="59">
        <f t="shared" si="8"/>
        <v>517528.03358158877</v>
      </c>
    </row>
    <row r="91" spans="1:11">
      <c r="A91" s="33">
        <v>2014</v>
      </c>
      <c r="B91" s="309">
        <f>110870</f>
        <v>110870</v>
      </c>
      <c r="C91" s="309"/>
      <c r="D91" s="63">
        <v>0.33</v>
      </c>
      <c r="E91" s="66">
        <v>360</v>
      </c>
      <c r="F91" s="77"/>
      <c r="G91" s="290">
        <f t="shared" si="7"/>
        <v>36587.100000000006</v>
      </c>
      <c r="H91" s="290"/>
      <c r="I91" s="399">
        <v>1.0016430000000001</v>
      </c>
      <c r="J91" s="400"/>
      <c r="K91" s="59">
        <f t="shared" si="8"/>
        <v>554965.43214076338</v>
      </c>
    </row>
    <row r="92" spans="1:11">
      <c r="A92" s="33">
        <v>2015</v>
      </c>
      <c r="B92" s="309">
        <f>111000</f>
        <v>111000</v>
      </c>
      <c r="C92" s="309"/>
      <c r="D92" s="63">
        <v>0.33</v>
      </c>
      <c r="E92" s="66">
        <v>360</v>
      </c>
      <c r="F92" s="77"/>
      <c r="G92" s="290">
        <f t="shared" si="7"/>
        <v>36630</v>
      </c>
      <c r="H92" s="290"/>
      <c r="I92" s="399">
        <v>1</v>
      </c>
      <c r="J92" s="400"/>
      <c r="K92" s="59">
        <f t="shared" si="8"/>
        <v>591595.43214076338</v>
      </c>
    </row>
    <row r="93" spans="1:11">
      <c r="A93" s="33">
        <v>2016</v>
      </c>
      <c r="B93" s="309">
        <f>112000</f>
        <v>112000</v>
      </c>
      <c r="C93" s="309"/>
      <c r="D93" s="63">
        <v>0.33</v>
      </c>
      <c r="E93" s="66">
        <v>360</v>
      </c>
      <c r="F93" s="77"/>
      <c r="G93" s="290">
        <f t="shared" si="7"/>
        <v>36960</v>
      </c>
      <c r="H93" s="290"/>
      <c r="I93" s="395">
        <v>1.005058</v>
      </c>
      <c r="J93" s="396"/>
      <c r="K93" s="59">
        <f t="shared" si="8"/>
        <v>631547.72183653142</v>
      </c>
    </row>
    <row r="94" spans="1:11">
      <c r="A94" s="38">
        <v>2017</v>
      </c>
      <c r="B94" s="309">
        <f>114000</f>
        <v>114000</v>
      </c>
      <c r="C94" s="309"/>
      <c r="D94" s="63">
        <v>0.33</v>
      </c>
      <c r="E94" s="66">
        <v>360</v>
      </c>
      <c r="F94" s="77"/>
      <c r="G94" s="290">
        <f t="shared" si="7"/>
        <v>37620.000000000007</v>
      </c>
      <c r="H94" s="290"/>
      <c r="I94" s="395">
        <v>1.0046839999999999</v>
      </c>
      <c r="J94" s="396"/>
      <c r="K94" s="59">
        <f t="shared" si="8"/>
        <v>672125.89136561367</v>
      </c>
    </row>
    <row r="95" spans="1:11">
      <c r="A95" s="38">
        <v>2018</v>
      </c>
      <c r="B95" s="309">
        <f>118000</f>
        <v>118000</v>
      </c>
      <c r="C95" s="309"/>
      <c r="D95" s="63">
        <v>0.33</v>
      </c>
      <c r="E95" s="66">
        <v>360</v>
      </c>
      <c r="F95" s="77"/>
      <c r="G95" s="290">
        <f t="shared" si="7"/>
        <v>38940</v>
      </c>
      <c r="H95" s="290"/>
      <c r="I95" s="360">
        <v>1</v>
      </c>
      <c r="J95" s="360"/>
      <c r="K95" s="59">
        <f t="shared" si="8"/>
        <v>711065.89136561367</v>
      </c>
    </row>
    <row r="96" spans="1:11">
      <c r="A96" s="38">
        <v>2019</v>
      </c>
      <c r="B96" s="309">
        <f>122000</f>
        <v>122000</v>
      </c>
      <c r="C96" s="309"/>
      <c r="D96" s="63">
        <v>0.33</v>
      </c>
      <c r="E96" s="66">
        <v>360</v>
      </c>
      <c r="F96" s="77"/>
      <c r="G96" s="290">
        <f t="shared" si="7"/>
        <v>40260</v>
      </c>
      <c r="H96" s="290"/>
      <c r="I96" s="360">
        <v>1</v>
      </c>
      <c r="J96" s="360"/>
      <c r="K96" s="59">
        <f t="shared" si="8"/>
        <v>751325.89136561367</v>
      </c>
    </row>
    <row r="97" spans="1:11">
      <c r="A97" s="38">
        <v>2020</v>
      </c>
      <c r="B97" s="309">
        <f>128000</f>
        <v>128000</v>
      </c>
      <c r="C97" s="309"/>
      <c r="D97" s="63">
        <v>0.33</v>
      </c>
      <c r="E97" s="66">
        <v>360</v>
      </c>
      <c r="F97" s="77"/>
      <c r="G97" s="290">
        <f t="shared" si="7"/>
        <v>42240</v>
      </c>
      <c r="H97" s="290"/>
      <c r="I97" s="360">
        <v>1</v>
      </c>
      <c r="J97" s="360"/>
      <c r="K97" s="59">
        <f t="shared" si="8"/>
        <v>793565.89136561367</v>
      </c>
    </row>
    <row r="98" spans="1:11" ht="15.75" thickBot="1">
      <c r="A98" s="17">
        <v>2021</v>
      </c>
      <c r="B98" s="365">
        <f>130000</f>
        <v>130000</v>
      </c>
      <c r="C98" s="365"/>
      <c r="D98" s="76">
        <v>0.33</v>
      </c>
      <c r="E98" s="58">
        <v>213</v>
      </c>
      <c r="F98" s="78"/>
      <c r="G98" s="366">
        <f t="shared" si="7"/>
        <v>25382.499999999996</v>
      </c>
      <c r="H98" s="366"/>
      <c r="I98" s="385">
        <v>1</v>
      </c>
      <c r="J98" s="385"/>
      <c r="K98" s="44">
        <f t="shared" si="8"/>
        <v>818948.39136561367</v>
      </c>
    </row>
    <row r="99" spans="1:11" ht="15.75" thickBo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</row>
    <row r="100" spans="1:11" ht="16.5" thickBot="1">
      <c r="A100" s="227" t="s">
        <v>87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9"/>
    </row>
    <row r="101" spans="1:11" ht="15.75" thickBo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</row>
    <row r="102" spans="1:11" ht="15.75" thickBot="1">
      <c r="A102" s="383" t="s">
        <v>88</v>
      </c>
      <c r="B102" s="384"/>
      <c r="C102" s="384" t="s">
        <v>89</v>
      </c>
      <c r="D102" s="384"/>
      <c r="E102" s="384"/>
      <c r="F102" s="172"/>
      <c r="G102" s="354" t="s">
        <v>92</v>
      </c>
      <c r="H102" s="354"/>
      <c r="I102" s="354"/>
      <c r="J102" s="354"/>
      <c r="K102" s="188" t="s">
        <v>90</v>
      </c>
    </row>
    <row r="103" spans="1:11" ht="15.75" thickBot="1">
      <c r="A103" s="381" t="s">
        <v>91</v>
      </c>
      <c r="B103" s="382"/>
      <c r="C103" s="391">
        <v>5.3379999999999997E-2</v>
      </c>
      <c r="D103" s="391"/>
      <c r="E103" s="391"/>
      <c r="F103" s="187"/>
      <c r="G103" s="392">
        <f>K98*C103</f>
        <v>43715.465131096455</v>
      </c>
      <c r="H103" s="392"/>
      <c r="I103" s="392"/>
      <c r="J103" s="392"/>
      <c r="K103" s="83">
        <f>G103/13</f>
        <v>3362.7280870074196</v>
      </c>
    </row>
    <row r="104" spans="1:11" ht="15.75" thickBot="1">
      <c r="A104" s="386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</row>
    <row r="105" spans="1:11" ht="16.5" thickBot="1">
      <c r="A105" s="387" t="s">
        <v>86</v>
      </c>
      <c r="B105" s="388"/>
      <c r="C105" s="388"/>
      <c r="D105" s="388"/>
      <c r="E105" s="388"/>
      <c r="F105" s="388"/>
      <c r="G105" s="388"/>
      <c r="H105" s="388"/>
      <c r="I105" s="389"/>
      <c r="J105" s="393">
        <f>G24+I68+K103</f>
        <v>6674.8035035856237</v>
      </c>
      <c r="K105" s="394"/>
    </row>
    <row r="106" spans="1:11" ht="15.75" thickBot="1">
      <c r="A106" s="390"/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</row>
    <row r="107" spans="1:11" ht="31.5" customHeight="1" thickBot="1">
      <c r="A107" s="378" t="s">
        <v>56</v>
      </c>
      <c r="B107" s="379"/>
      <c r="C107" s="379"/>
      <c r="D107" s="379"/>
      <c r="E107" s="379"/>
      <c r="F107" s="379"/>
      <c r="G107" s="379"/>
      <c r="H107" s="380"/>
      <c r="I107" s="377" t="s">
        <v>57</v>
      </c>
      <c r="J107" s="377"/>
      <c r="K107" s="46" t="s">
        <v>58</v>
      </c>
    </row>
    <row r="108" spans="1:11" ht="20.100000000000001" customHeight="1">
      <c r="A108" s="371" t="s">
        <v>59</v>
      </c>
      <c r="B108" s="328"/>
      <c r="C108" s="328"/>
      <c r="D108" s="328"/>
      <c r="E108" s="328"/>
      <c r="F108" s="328"/>
      <c r="G108" s="328"/>
      <c r="H108" s="328"/>
      <c r="I108" s="372"/>
      <c r="J108" s="372"/>
      <c r="K108" s="47">
        <f>I109*13</f>
        <v>86772.445546613104</v>
      </c>
    </row>
    <row r="109" spans="1:11" ht="20.100000000000001" customHeight="1">
      <c r="A109" s="373" t="s">
        <v>60</v>
      </c>
      <c r="B109" s="374"/>
      <c r="C109" s="374"/>
      <c r="D109" s="374"/>
      <c r="E109" s="374"/>
      <c r="F109" s="374"/>
      <c r="G109" s="374"/>
      <c r="H109" s="374"/>
      <c r="I109" s="241">
        <f>J105</f>
        <v>6674.8035035856237</v>
      </c>
      <c r="J109" s="375"/>
      <c r="K109" s="48"/>
    </row>
    <row r="110" spans="1:11" ht="20.100000000000001" customHeight="1">
      <c r="A110" s="373" t="s">
        <v>61</v>
      </c>
      <c r="B110" s="374"/>
      <c r="C110" s="374"/>
      <c r="D110" s="374"/>
      <c r="E110" s="374"/>
      <c r="F110" s="374"/>
      <c r="G110" s="374"/>
      <c r="H110" s="374"/>
      <c r="I110" s="241">
        <f>-I109*43%+569.167</f>
        <v>-2300.9985065418182</v>
      </c>
      <c r="J110" s="241"/>
      <c r="K110" s="48"/>
    </row>
    <row r="111" spans="1:11" ht="20.100000000000001" customHeight="1">
      <c r="A111" s="239" t="s">
        <v>62</v>
      </c>
      <c r="B111" s="240"/>
      <c r="C111" s="240"/>
      <c r="D111" s="240"/>
      <c r="E111" s="240"/>
      <c r="F111" s="240"/>
      <c r="G111" s="240"/>
      <c r="H111" s="240"/>
      <c r="I111" s="241" t="s">
        <v>22</v>
      </c>
      <c r="J111" s="241"/>
      <c r="K111" s="48"/>
    </row>
    <row r="112" spans="1:11" ht="20.100000000000001" customHeight="1">
      <c r="A112" s="242" t="s">
        <v>63</v>
      </c>
      <c r="B112" s="243"/>
      <c r="C112" s="243"/>
      <c r="D112" s="243"/>
      <c r="E112" s="243"/>
      <c r="F112" s="243"/>
      <c r="G112" s="243"/>
      <c r="H112" s="243"/>
      <c r="I112" s="244">
        <f>I109+I110</f>
        <v>4373.804997043806</v>
      </c>
      <c r="J112" s="244"/>
      <c r="K112" s="48"/>
    </row>
    <row r="113" spans="1:11" ht="20.100000000000001" customHeight="1" thickBot="1">
      <c r="A113" s="368" t="s">
        <v>64</v>
      </c>
      <c r="B113" s="369"/>
      <c r="C113" s="369"/>
      <c r="D113" s="369"/>
      <c r="E113" s="369"/>
      <c r="F113" s="369"/>
      <c r="G113" s="369"/>
      <c r="H113" s="369"/>
      <c r="I113" s="370">
        <f>I109*57%</f>
        <v>3804.6379970438052</v>
      </c>
      <c r="J113" s="370"/>
      <c r="K113" s="49"/>
    </row>
    <row r="114" spans="1:11" ht="15.75" thickBot="1">
      <c r="A114" s="230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</row>
    <row r="115" spans="1:11" ht="15.75" thickBot="1">
      <c r="A115" s="224" t="s">
        <v>93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6"/>
    </row>
  </sheetData>
  <mergeCells count="284"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6:C76"/>
    <mergeCell ref="G76:H76"/>
    <mergeCell ref="I76:J76"/>
    <mergeCell ref="B77:C77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B75:C75"/>
    <mergeCell ref="G75:H75"/>
    <mergeCell ref="I75:J75"/>
    <mergeCell ref="B72:C72"/>
    <mergeCell ref="G72:H72"/>
    <mergeCell ref="I72:J72"/>
    <mergeCell ref="B73:C73"/>
    <mergeCell ref="G73:H73"/>
    <mergeCell ref="I73:J73"/>
    <mergeCell ref="B64:C64"/>
    <mergeCell ref="D64:E64"/>
    <mergeCell ref="G64:H64"/>
    <mergeCell ref="I64:J64"/>
    <mergeCell ref="B65:C65"/>
    <mergeCell ref="D65:E65"/>
    <mergeCell ref="G65:H65"/>
    <mergeCell ref="I65:J65"/>
    <mergeCell ref="B74:C74"/>
    <mergeCell ref="G74:H74"/>
    <mergeCell ref="I74:J74"/>
    <mergeCell ref="A71:K71"/>
    <mergeCell ref="A70:K70"/>
    <mergeCell ref="B66:C66"/>
    <mergeCell ref="D66:E66"/>
    <mergeCell ref="G66:H66"/>
    <mergeCell ref="I66:J66"/>
    <mergeCell ref="B67:C67"/>
    <mergeCell ref="D67:E67"/>
    <mergeCell ref="G67:H67"/>
    <mergeCell ref="I67:J67"/>
    <mergeCell ref="B68:C68"/>
    <mergeCell ref="D68:H68"/>
    <mergeCell ref="I68:J68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I51:J51"/>
    <mergeCell ref="E56:H56"/>
    <mergeCell ref="E57:H57"/>
    <mergeCell ref="A61:K61"/>
    <mergeCell ref="D62:H62"/>
    <mergeCell ref="K62:K63"/>
    <mergeCell ref="A58:C58"/>
    <mergeCell ref="I56:J56"/>
    <mergeCell ref="I57:J57"/>
    <mergeCell ref="I53:J53"/>
    <mergeCell ref="I54:J54"/>
    <mergeCell ref="I55:J55"/>
    <mergeCell ref="E53:H53"/>
    <mergeCell ref="E58:J58"/>
    <mergeCell ref="A59:C59"/>
    <mergeCell ref="D59:E59"/>
    <mergeCell ref="H59:J59"/>
    <mergeCell ref="D63:E63"/>
    <mergeCell ref="G63:H63"/>
    <mergeCell ref="A62:A63"/>
    <mergeCell ref="B62:C63"/>
    <mergeCell ref="I62:J63"/>
    <mergeCell ref="A60:K60"/>
    <mergeCell ref="I46:J46"/>
    <mergeCell ref="I47:J47"/>
    <mergeCell ref="I48:J48"/>
    <mergeCell ref="E46:H46"/>
    <mergeCell ref="E47:H47"/>
    <mergeCell ref="E48:H48"/>
    <mergeCell ref="I43:J43"/>
    <mergeCell ref="I44:J44"/>
    <mergeCell ref="I45:J45"/>
    <mergeCell ref="E43:H43"/>
    <mergeCell ref="E44:H44"/>
    <mergeCell ref="E45:H45"/>
    <mergeCell ref="B47:C47"/>
    <mergeCell ref="B30:C30"/>
    <mergeCell ref="B31:C31"/>
    <mergeCell ref="B32:C32"/>
    <mergeCell ref="B33:C33"/>
    <mergeCell ref="B34:C34"/>
    <mergeCell ref="B35:C35"/>
    <mergeCell ref="E54:H54"/>
    <mergeCell ref="E55:H55"/>
    <mergeCell ref="E37:H37"/>
    <mergeCell ref="E38:H38"/>
    <mergeCell ref="E39:H39"/>
    <mergeCell ref="I42:J42"/>
    <mergeCell ref="E40:H40"/>
    <mergeCell ref="E41:H41"/>
    <mergeCell ref="E42:H42"/>
    <mergeCell ref="I37:J37"/>
    <mergeCell ref="I38:J38"/>
    <mergeCell ref="I39:J39"/>
    <mergeCell ref="B57:C57"/>
    <mergeCell ref="I30:J30"/>
    <mergeCell ref="I31:J31"/>
    <mergeCell ref="I32:J32"/>
    <mergeCell ref="I33:J33"/>
    <mergeCell ref="I34:J34"/>
    <mergeCell ref="I35:J35"/>
    <mergeCell ref="I36:J36"/>
    <mergeCell ref="B48:C48"/>
    <mergeCell ref="B53:C53"/>
    <mergeCell ref="B54:C54"/>
    <mergeCell ref="B55:C55"/>
    <mergeCell ref="B56:C56"/>
    <mergeCell ref="B43:C43"/>
    <mergeCell ref="B44:C44"/>
    <mergeCell ref="B45:C45"/>
    <mergeCell ref="B46:C46"/>
    <mergeCell ref="J16:K16"/>
    <mergeCell ref="A17:E17"/>
    <mergeCell ref="J18:K18"/>
    <mergeCell ref="A19:E19"/>
    <mergeCell ref="B52:C52"/>
    <mergeCell ref="I52:J52"/>
    <mergeCell ref="E51:H51"/>
    <mergeCell ref="E52:H52"/>
    <mergeCell ref="I49:J49"/>
    <mergeCell ref="B50:C50"/>
    <mergeCell ref="I50:J50"/>
    <mergeCell ref="E49:H49"/>
    <mergeCell ref="E50:H50"/>
    <mergeCell ref="B49:C49"/>
    <mergeCell ref="B36:C36"/>
    <mergeCell ref="B37:C37"/>
    <mergeCell ref="B38:C38"/>
    <mergeCell ref="B39:C39"/>
    <mergeCell ref="B40:C40"/>
    <mergeCell ref="B41:C41"/>
    <mergeCell ref="B42:C42"/>
    <mergeCell ref="B51:C51"/>
    <mergeCell ref="I40:J40"/>
    <mergeCell ref="I41:J41"/>
    <mergeCell ref="J20:K20"/>
    <mergeCell ref="B28:C28"/>
    <mergeCell ref="I28:J28"/>
    <mergeCell ref="A26:K26"/>
    <mergeCell ref="I29:J29"/>
    <mergeCell ref="A1:K1"/>
    <mergeCell ref="A2:K2"/>
    <mergeCell ref="A5:F7"/>
    <mergeCell ref="G5:H6"/>
    <mergeCell ref="I5:J6"/>
    <mergeCell ref="K5:K7"/>
    <mergeCell ref="A12:K12"/>
    <mergeCell ref="B13:C13"/>
    <mergeCell ref="G13:I13"/>
    <mergeCell ref="J13:K13"/>
    <mergeCell ref="A3:K3"/>
    <mergeCell ref="A4:K4"/>
    <mergeCell ref="A8:F8"/>
    <mergeCell ref="A9:F9"/>
    <mergeCell ref="A10:F10"/>
    <mergeCell ref="A11:K11"/>
    <mergeCell ref="A15:K15"/>
    <mergeCell ref="A16:E16"/>
    <mergeCell ref="G16:I16"/>
    <mergeCell ref="A14:K14"/>
    <mergeCell ref="A27:K27"/>
    <mergeCell ref="B29:C29"/>
    <mergeCell ref="A24:E24"/>
    <mergeCell ref="G24:I24"/>
    <mergeCell ref="J24:K24"/>
    <mergeCell ref="A25:K25"/>
    <mergeCell ref="A21:E21"/>
    <mergeCell ref="G21:I21"/>
    <mergeCell ref="J21:K21"/>
    <mergeCell ref="A22:E22"/>
    <mergeCell ref="G22:I22"/>
    <mergeCell ref="J22:K22"/>
    <mergeCell ref="A23:E23"/>
    <mergeCell ref="G23:I23"/>
    <mergeCell ref="J23:K23"/>
    <mergeCell ref="G17:I17"/>
    <mergeCell ref="J17:K17"/>
    <mergeCell ref="A18:E18"/>
    <mergeCell ref="G18:I18"/>
    <mergeCell ref="G19:I19"/>
    <mergeCell ref="J19:K19"/>
    <mergeCell ref="A20:E20"/>
    <mergeCell ref="G20:I20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I98:J98"/>
    <mergeCell ref="A104:K104"/>
    <mergeCell ref="A105:I105"/>
    <mergeCell ref="A106:K106"/>
    <mergeCell ref="C102:E102"/>
    <mergeCell ref="C103:E103"/>
    <mergeCell ref="G103:J103"/>
    <mergeCell ref="J105:K105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B98:C98"/>
    <mergeCell ref="B93:C93"/>
    <mergeCell ref="B94:C94"/>
    <mergeCell ref="B95:C95"/>
    <mergeCell ref="B96:C96"/>
    <mergeCell ref="B97:C97"/>
    <mergeCell ref="A115:K115"/>
    <mergeCell ref="A114:K114"/>
    <mergeCell ref="A69:K69"/>
    <mergeCell ref="A108:H108"/>
    <mergeCell ref="A109:H109"/>
    <mergeCell ref="A110:H110"/>
    <mergeCell ref="A111:H111"/>
    <mergeCell ref="A112:H112"/>
    <mergeCell ref="A113:H113"/>
    <mergeCell ref="A107:H107"/>
    <mergeCell ref="I107:J107"/>
    <mergeCell ref="I108:J108"/>
    <mergeCell ref="I109:J109"/>
    <mergeCell ref="I110:J110"/>
    <mergeCell ref="I111:J111"/>
    <mergeCell ref="I112:J112"/>
    <mergeCell ref="I113:J113"/>
    <mergeCell ref="A100:K100"/>
    <mergeCell ref="A99:K99"/>
    <mergeCell ref="A101:K101"/>
    <mergeCell ref="G102:J102"/>
    <mergeCell ref="A103:B103"/>
    <mergeCell ref="A102:B102"/>
    <mergeCell ref="G98:H98"/>
  </mergeCells>
  <pageMargins left="0.78" right="0.7" top="0.75" bottom="0.75" header="0.3" footer="0.3"/>
  <pageSetup paperSize="9" orientation="portrait" horizontalDpi="0" verticalDpi="0" r:id="rId1"/>
  <rowBreaks count="2" manualBreakCount="2">
    <brk id="25" max="16383" man="1"/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sqref="A1:G1"/>
    </sheetView>
  </sheetViews>
  <sheetFormatPr defaultRowHeight="15"/>
  <cols>
    <col min="1" max="1" width="6.28515625" customWidth="1"/>
    <col min="2" max="2" width="7.28515625" customWidth="1"/>
    <col min="3" max="3" width="8.42578125" customWidth="1"/>
    <col min="4" max="4" width="14.140625" customWidth="1"/>
    <col min="5" max="5" width="13.28515625" customWidth="1"/>
    <col min="6" max="6" width="17.42578125" customWidth="1"/>
    <col min="7" max="7" width="18.7109375" customWidth="1"/>
  </cols>
  <sheetData>
    <row r="1" spans="1:7" ht="48.75" customHeight="1" thickBot="1">
      <c r="A1" s="253" t="s">
        <v>109</v>
      </c>
      <c r="B1" s="254"/>
      <c r="C1" s="254"/>
      <c r="D1" s="254"/>
      <c r="E1" s="254"/>
      <c r="F1" s="254"/>
      <c r="G1" s="256"/>
    </row>
    <row r="2" spans="1:7" ht="15.75" thickBot="1">
      <c r="A2" s="230"/>
      <c r="B2" s="230"/>
      <c r="C2" s="230"/>
      <c r="D2" s="230"/>
      <c r="E2" s="230"/>
      <c r="F2" s="230"/>
      <c r="G2" s="230"/>
    </row>
    <row r="3" spans="1:7" ht="108.75" customHeight="1" thickBot="1">
      <c r="A3" s="285" t="s">
        <v>101</v>
      </c>
      <c r="B3" s="286"/>
      <c r="C3" s="286"/>
      <c r="D3" s="286"/>
      <c r="E3" s="286"/>
      <c r="F3" s="286"/>
      <c r="G3" s="287"/>
    </row>
    <row r="4" spans="1:7" ht="15.75" thickBot="1">
      <c r="A4" s="361"/>
      <c r="B4" s="361"/>
      <c r="C4" s="361"/>
      <c r="D4" s="361"/>
      <c r="E4" s="361"/>
      <c r="F4" s="361"/>
      <c r="G4" s="473"/>
    </row>
    <row r="5" spans="1:7" ht="15" customHeight="1" thickBot="1">
      <c r="A5" s="477" t="s">
        <v>0</v>
      </c>
      <c r="B5" s="478"/>
      <c r="C5" s="478"/>
      <c r="D5" s="478"/>
      <c r="E5" s="478"/>
      <c r="F5" s="478"/>
      <c r="G5" s="102" t="s">
        <v>108</v>
      </c>
    </row>
    <row r="6" spans="1:7">
      <c r="A6" s="474" t="s">
        <v>102</v>
      </c>
      <c r="B6" s="475"/>
      <c r="C6" s="475"/>
      <c r="D6" s="475"/>
      <c r="E6" s="475"/>
      <c r="F6" s="475"/>
      <c r="G6" s="105">
        <v>1259</v>
      </c>
    </row>
    <row r="7" spans="1:7">
      <c r="A7" s="476" t="s">
        <v>103</v>
      </c>
      <c r="B7" s="470"/>
      <c r="C7" s="470"/>
      <c r="D7" s="470"/>
      <c r="E7" s="470"/>
      <c r="F7" s="470"/>
      <c r="G7" s="103">
        <v>1002</v>
      </c>
    </row>
    <row r="8" spans="1:7">
      <c r="A8" s="476" t="s">
        <v>104</v>
      </c>
      <c r="B8" s="470"/>
      <c r="C8" s="470"/>
      <c r="D8" s="470"/>
      <c r="E8" s="470"/>
      <c r="F8" s="470"/>
      <c r="G8" s="103">
        <f>G6+G7</f>
        <v>2261</v>
      </c>
    </row>
    <row r="9" spans="1:7">
      <c r="A9" s="469" t="s">
        <v>105</v>
      </c>
      <c r="B9" s="470"/>
      <c r="C9" s="470"/>
      <c r="D9" s="470"/>
      <c r="E9" s="470"/>
      <c r="F9" s="470"/>
      <c r="G9" s="104">
        <v>739</v>
      </c>
    </row>
    <row r="10" spans="1:7">
      <c r="A10" s="469" t="s">
        <v>106</v>
      </c>
      <c r="B10" s="470"/>
      <c r="C10" s="470"/>
      <c r="D10" s="470"/>
      <c r="E10" s="470"/>
      <c r="F10" s="470"/>
      <c r="G10" s="104">
        <v>520</v>
      </c>
    </row>
    <row r="11" spans="1:7" ht="15.75" thickBot="1">
      <c r="A11" s="471" t="s">
        <v>107</v>
      </c>
      <c r="B11" s="472"/>
      <c r="C11" s="472"/>
      <c r="D11" s="472"/>
      <c r="E11" s="472"/>
      <c r="F11" s="472"/>
      <c r="G11" s="106">
        <v>1002</v>
      </c>
    </row>
    <row r="12" spans="1:7">
      <c r="A12" s="272"/>
      <c r="B12" s="272"/>
      <c r="C12" s="272"/>
      <c r="D12" s="272"/>
      <c r="E12" s="272"/>
      <c r="F12" s="272"/>
      <c r="G12" s="272"/>
    </row>
    <row r="13" spans="1:7" ht="15.75" thickBot="1">
      <c r="A13" s="413" t="s">
        <v>115</v>
      </c>
      <c r="B13" s="413"/>
      <c r="C13" s="413"/>
      <c r="D13" s="413"/>
      <c r="E13" s="413"/>
      <c r="F13" s="413"/>
      <c r="G13" s="413"/>
    </row>
    <row r="14" spans="1:7" ht="30.75" customHeight="1" thickBot="1">
      <c r="A14" s="130" t="s">
        <v>27</v>
      </c>
      <c r="B14" s="131" t="s">
        <v>111</v>
      </c>
      <c r="C14" s="153"/>
      <c r="D14" s="154" t="s">
        <v>112</v>
      </c>
      <c r="E14" s="154" t="s">
        <v>110</v>
      </c>
      <c r="F14" s="154" t="s">
        <v>113</v>
      </c>
      <c r="G14" s="155" t="s">
        <v>114</v>
      </c>
    </row>
    <row r="15" spans="1:7" ht="15" customHeight="1">
      <c r="A15" s="199">
        <v>2017</v>
      </c>
      <c r="B15" s="200">
        <v>38</v>
      </c>
      <c r="C15" s="196"/>
      <c r="D15" s="194">
        <f>81254</f>
        <v>81254</v>
      </c>
      <c r="E15" s="197">
        <f>D15/52*B15</f>
        <v>59377.923076923078</v>
      </c>
      <c r="F15" s="129">
        <v>1</v>
      </c>
      <c r="G15" s="201">
        <f>E15*F15</f>
        <v>59377.923076923078</v>
      </c>
    </row>
    <row r="16" spans="1:7">
      <c r="A16" s="33">
        <v>2018</v>
      </c>
      <c r="B16" s="122">
        <v>52</v>
      </c>
      <c r="C16" s="137"/>
      <c r="D16" s="135">
        <f>70891+12007</f>
        <v>82898</v>
      </c>
      <c r="E16" s="136">
        <f t="shared" ref="E16:E20" si="0">D16/52*B16</f>
        <v>82898</v>
      </c>
      <c r="F16" s="115">
        <v>1</v>
      </c>
      <c r="G16" s="202">
        <f t="shared" ref="G16:G20" si="1">E16*F16</f>
        <v>82898</v>
      </c>
    </row>
    <row r="17" spans="1:11">
      <c r="A17" s="33">
        <v>2019</v>
      </c>
      <c r="B17" s="122">
        <v>52</v>
      </c>
      <c r="C17" s="137"/>
      <c r="D17" s="116">
        <f>84894</f>
        <v>84894</v>
      </c>
      <c r="E17" s="136">
        <f t="shared" si="0"/>
        <v>84894</v>
      </c>
      <c r="F17" s="115">
        <v>1</v>
      </c>
      <c r="G17" s="202">
        <f t="shared" si="1"/>
        <v>84894</v>
      </c>
    </row>
    <row r="18" spans="1:11">
      <c r="A18" s="33">
        <v>2020</v>
      </c>
      <c r="B18" s="122">
        <v>52</v>
      </c>
      <c r="C18" s="137"/>
      <c r="D18" s="116">
        <f>D17</f>
        <v>84894</v>
      </c>
      <c r="E18" s="136">
        <f t="shared" si="0"/>
        <v>84894</v>
      </c>
      <c r="F18" s="115">
        <v>1</v>
      </c>
      <c r="G18" s="202">
        <f t="shared" si="1"/>
        <v>84894</v>
      </c>
    </row>
    <row r="19" spans="1:11">
      <c r="A19" s="33">
        <v>2021</v>
      </c>
      <c r="B19" s="122">
        <v>52</v>
      </c>
      <c r="C19" s="137"/>
      <c r="D19" s="116">
        <f>D18</f>
        <v>84894</v>
      </c>
      <c r="E19" s="136">
        <f t="shared" si="0"/>
        <v>84894</v>
      </c>
      <c r="F19" s="115">
        <v>1</v>
      </c>
      <c r="G19" s="202">
        <f t="shared" si="1"/>
        <v>84894</v>
      </c>
    </row>
    <row r="20" spans="1:11" ht="15.75" thickBot="1">
      <c r="A20" s="17">
        <v>2022</v>
      </c>
      <c r="B20" s="127">
        <v>14</v>
      </c>
      <c r="C20" s="11"/>
      <c r="D20" s="195">
        <f>D19</f>
        <v>84894</v>
      </c>
      <c r="E20" s="198">
        <f t="shared" si="0"/>
        <v>22856.076923076922</v>
      </c>
      <c r="F20" s="170">
        <v>1</v>
      </c>
      <c r="G20" s="203">
        <f t="shared" si="1"/>
        <v>22856.076923076922</v>
      </c>
    </row>
    <row r="21" spans="1:11" ht="15.75" thickBot="1">
      <c r="A21" s="99" t="s">
        <v>44</v>
      </c>
      <c r="B21" s="162">
        <f>SUM(B15:B20)</f>
        <v>260</v>
      </c>
      <c r="C21" s="234"/>
      <c r="D21" s="234"/>
      <c r="E21" s="234"/>
      <c r="F21" s="234"/>
      <c r="G21" s="138">
        <f>SUM(G15:G20)</f>
        <v>419814</v>
      </c>
    </row>
    <row r="22" spans="1:11" ht="15.75" thickBot="1">
      <c r="A22" s="272"/>
      <c r="B22" s="272"/>
      <c r="C22" s="272"/>
      <c r="D22" s="272"/>
      <c r="E22" s="272"/>
      <c r="F22" s="272"/>
      <c r="G22" s="272"/>
    </row>
    <row r="23" spans="1:11" ht="15.75" thickBot="1">
      <c r="A23" s="422" t="s">
        <v>127</v>
      </c>
      <c r="B23" s="423"/>
      <c r="C23" s="423"/>
      <c r="D23" s="96">
        <f>G21/5/52</f>
        <v>1614.6692307692308</v>
      </c>
      <c r="E23" s="144"/>
      <c r="F23" s="94" t="s">
        <v>116</v>
      </c>
      <c r="G23" s="97">
        <v>926.66</v>
      </c>
      <c r="H23" s="139"/>
      <c r="I23" s="139"/>
      <c r="J23" s="139"/>
      <c r="K23" s="140"/>
    </row>
    <row r="24" spans="1:11" ht="15.75" thickBot="1">
      <c r="A24" s="473"/>
      <c r="B24" s="473"/>
      <c r="C24" s="473"/>
      <c r="D24" s="473"/>
      <c r="E24" s="473"/>
      <c r="F24" s="473"/>
      <c r="G24" s="473"/>
    </row>
    <row r="25" spans="1:11" ht="15.75" thickBot="1">
      <c r="A25" s="227" t="s">
        <v>117</v>
      </c>
      <c r="B25" s="228"/>
      <c r="C25" s="228"/>
      <c r="D25" s="228"/>
      <c r="E25" s="228"/>
      <c r="F25" s="228"/>
      <c r="G25" s="229"/>
    </row>
    <row r="26" spans="1:11" ht="15.75" thickBot="1">
      <c r="A26" s="231" t="s">
        <v>118</v>
      </c>
      <c r="B26" s="232"/>
      <c r="C26" s="232"/>
      <c r="D26" s="101" t="s">
        <v>119</v>
      </c>
      <c r="E26" s="101" t="s">
        <v>120</v>
      </c>
      <c r="F26" s="101" t="s">
        <v>121</v>
      </c>
      <c r="G26" s="80" t="s">
        <v>20</v>
      </c>
    </row>
    <row r="27" spans="1:11">
      <c r="A27" s="464" t="s">
        <v>122</v>
      </c>
      <c r="B27" s="465"/>
      <c r="C27" s="465"/>
      <c r="D27" s="95">
        <v>926.66</v>
      </c>
      <c r="E27" s="143">
        <f>80/52/1000</f>
        <v>1.5384615384615385E-3</v>
      </c>
      <c r="F27" s="145">
        <f>G9</f>
        <v>739</v>
      </c>
      <c r="G27" s="42">
        <f>D27*E27*F27</f>
        <v>1053.5411384615386</v>
      </c>
    </row>
    <row r="28" spans="1:11">
      <c r="A28" s="466" t="s">
        <v>123</v>
      </c>
      <c r="B28" s="467"/>
      <c r="C28" s="467"/>
      <c r="D28" s="93">
        <f>D27*33%</f>
        <v>305.7978</v>
      </c>
      <c r="E28" s="141">
        <f>64/52/1000</f>
        <v>1.2307692307692308E-3</v>
      </c>
      <c r="F28" s="70">
        <f>F27</f>
        <v>739</v>
      </c>
      <c r="G28" s="100">
        <f t="shared" ref="G28:G30" si="2">D28*E28*F28</f>
        <v>278.13486055384618</v>
      </c>
    </row>
    <row r="29" spans="1:11">
      <c r="A29" s="466" t="s">
        <v>123</v>
      </c>
      <c r="B29" s="467"/>
      <c r="C29" s="467"/>
      <c r="D29" s="93">
        <f>D27*33%</f>
        <v>305.7978</v>
      </c>
      <c r="E29" s="141">
        <f>50/52/1000</f>
        <v>9.6153846153846159E-4</v>
      </c>
      <c r="F29" s="70">
        <f t="shared" ref="F29:F30" si="3">F28</f>
        <v>739</v>
      </c>
      <c r="G29" s="100">
        <f t="shared" si="2"/>
        <v>217.29285980769231</v>
      </c>
    </row>
    <row r="30" spans="1:11" ht="15.75" thickBot="1">
      <c r="A30" s="479" t="s">
        <v>124</v>
      </c>
      <c r="B30" s="480"/>
      <c r="C30" s="480"/>
      <c r="D30" s="92">
        <f>D23-G23*1.66</f>
        <v>76.413630769230849</v>
      </c>
      <c r="E30" s="142">
        <f>40/52/1000</f>
        <v>7.6923076923076923E-4</v>
      </c>
      <c r="F30" s="146">
        <f t="shared" si="3"/>
        <v>739</v>
      </c>
      <c r="G30" s="71">
        <f t="shared" si="2"/>
        <v>43.438210106508919</v>
      </c>
    </row>
    <row r="31" spans="1:11" ht="15.75" thickBot="1">
      <c r="A31" s="461" t="s">
        <v>33</v>
      </c>
      <c r="B31" s="354"/>
      <c r="C31" s="354"/>
      <c r="D31" s="147">
        <f>SUM(D27:D30)</f>
        <v>1614.6692307692308</v>
      </c>
      <c r="E31" s="462"/>
      <c r="F31" s="463"/>
      <c r="G31" s="98">
        <f>SUM(G27:G30)</f>
        <v>1592.4070689295861</v>
      </c>
    </row>
    <row r="32" spans="1:11">
      <c r="A32" s="272"/>
      <c r="B32" s="272"/>
      <c r="C32" s="272"/>
      <c r="D32" s="272"/>
      <c r="E32" s="272"/>
      <c r="F32" s="272"/>
      <c r="G32" s="272"/>
    </row>
    <row r="33" spans="1:11" ht="15.75" thickBot="1">
      <c r="A33" s="413" t="s">
        <v>125</v>
      </c>
      <c r="B33" s="413"/>
      <c r="C33" s="413"/>
      <c r="D33" s="413"/>
      <c r="E33" s="413"/>
      <c r="F33" s="413"/>
      <c r="G33" s="413"/>
    </row>
    <row r="34" spans="1:11" ht="27" thickBot="1">
      <c r="A34" s="156" t="s">
        <v>27</v>
      </c>
      <c r="B34" s="157" t="s">
        <v>111</v>
      </c>
      <c r="C34" s="158"/>
      <c r="D34" s="159" t="s">
        <v>112</v>
      </c>
      <c r="E34" s="159" t="s">
        <v>110</v>
      </c>
      <c r="F34" s="159" t="s">
        <v>113</v>
      </c>
      <c r="G34" s="160" t="s">
        <v>114</v>
      </c>
    </row>
    <row r="35" spans="1:11">
      <c r="A35" s="31">
        <v>2012</v>
      </c>
      <c r="B35" s="125">
        <v>38</v>
      </c>
      <c r="C35" s="34"/>
      <c r="D35" s="194">
        <f>77329.72/14*13</f>
        <v>71806.16857142857</v>
      </c>
      <c r="E35" s="124">
        <f>D35/52*B35</f>
        <v>52473.738571428577</v>
      </c>
      <c r="F35" s="129">
        <v>1.0535000000000001</v>
      </c>
      <c r="G35" s="42">
        <f>E35*F35</f>
        <v>55281.083585000015</v>
      </c>
    </row>
    <row r="36" spans="1:11">
      <c r="A36" s="33">
        <v>2013</v>
      </c>
      <c r="B36" s="122">
        <v>52</v>
      </c>
      <c r="C36" s="137"/>
      <c r="D36" s="116">
        <f>(19433.71+50773)/14*13</f>
        <v>65191.944999999992</v>
      </c>
      <c r="E36" s="111">
        <f t="shared" ref="E36:E45" si="4">D36/52*B36</f>
        <v>65191.944999999992</v>
      </c>
      <c r="F36" s="115">
        <v>1.0321</v>
      </c>
      <c r="G36" s="112">
        <f t="shared" ref="G36:G45" si="5">E36*F36</f>
        <v>67284.60643449999</v>
      </c>
    </row>
    <row r="37" spans="1:11">
      <c r="A37" s="33">
        <v>2014</v>
      </c>
      <c r="B37" s="122">
        <v>52</v>
      </c>
      <c r="C37" s="137"/>
      <c r="D37" s="116">
        <f>81254/14*13</f>
        <v>75450.142857142855</v>
      </c>
      <c r="E37" s="111">
        <f t="shared" si="4"/>
        <v>75450.142857142855</v>
      </c>
      <c r="F37" s="115">
        <v>1.02</v>
      </c>
      <c r="G37" s="112">
        <f t="shared" si="5"/>
        <v>76959.145714285711</v>
      </c>
    </row>
    <row r="38" spans="1:11">
      <c r="A38" s="33">
        <v>2015</v>
      </c>
      <c r="B38" s="122">
        <v>52</v>
      </c>
      <c r="C38" s="137"/>
      <c r="D38" s="116">
        <f>(70891+12.007)/14*13</f>
        <v>65838.506500000003</v>
      </c>
      <c r="E38" s="111">
        <f t="shared" si="4"/>
        <v>65838.506500000003</v>
      </c>
      <c r="F38" s="115">
        <v>1.01</v>
      </c>
      <c r="G38" s="112">
        <f t="shared" si="5"/>
        <v>66496.891564999998</v>
      </c>
    </row>
    <row r="39" spans="1:11">
      <c r="A39" s="33">
        <v>2016</v>
      </c>
      <c r="B39" s="122">
        <v>52</v>
      </c>
      <c r="C39" s="137"/>
      <c r="D39" s="116">
        <f>84894/14*13</f>
        <v>78830.142857142855</v>
      </c>
      <c r="E39" s="111">
        <f t="shared" si="4"/>
        <v>78830.142857142855</v>
      </c>
      <c r="F39" s="115">
        <v>1</v>
      </c>
      <c r="G39" s="112">
        <f t="shared" si="5"/>
        <v>78830.142857142855</v>
      </c>
    </row>
    <row r="40" spans="1:11">
      <c r="A40" s="33">
        <v>2017</v>
      </c>
      <c r="B40" s="122">
        <v>52</v>
      </c>
      <c r="C40" s="137"/>
      <c r="D40" s="116">
        <f>84894/14*13</f>
        <v>78830.142857142855</v>
      </c>
      <c r="E40" s="111">
        <f t="shared" si="4"/>
        <v>78830.142857142855</v>
      </c>
      <c r="F40" s="115">
        <v>1</v>
      </c>
      <c r="G40" s="112">
        <f t="shared" si="5"/>
        <v>78830.142857142855</v>
      </c>
    </row>
    <row r="41" spans="1:11">
      <c r="A41" s="33">
        <v>2018</v>
      </c>
      <c r="B41" s="122">
        <v>52</v>
      </c>
      <c r="C41" s="137"/>
      <c r="D41" s="116">
        <f>84894/14*13</f>
        <v>78830.142857142855</v>
      </c>
      <c r="E41" s="111">
        <f t="shared" si="4"/>
        <v>78830.142857142855</v>
      </c>
      <c r="F41" s="115">
        <v>1</v>
      </c>
      <c r="G41" s="112">
        <f t="shared" si="5"/>
        <v>78830.142857142855</v>
      </c>
    </row>
    <row r="42" spans="1:11">
      <c r="A42" s="33">
        <v>2019</v>
      </c>
      <c r="B42" s="122">
        <v>52</v>
      </c>
      <c r="C42" s="137"/>
      <c r="D42" s="116">
        <f>84894/14*13</f>
        <v>78830.142857142855</v>
      </c>
      <c r="E42" s="111">
        <f t="shared" si="4"/>
        <v>78830.142857142855</v>
      </c>
      <c r="F42" s="115">
        <v>1</v>
      </c>
      <c r="G42" s="112">
        <f t="shared" si="5"/>
        <v>78830.142857142855</v>
      </c>
    </row>
    <row r="43" spans="1:11">
      <c r="A43" s="33">
        <v>2020</v>
      </c>
      <c r="B43" s="122">
        <v>52</v>
      </c>
      <c r="C43" s="137"/>
      <c r="D43" s="116">
        <f>D42</f>
        <v>78830.142857142855</v>
      </c>
      <c r="E43" s="111">
        <f t="shared" si="4"/>
        <v>78830.142857142855</v>
      </c>
      <c r="F43" s="115">
        <v>1</v>
      </c>
      <c r="G43" s="112">
        <f t="shared" si="5"/>
        <v>78830.142857142855</v>
      </c>
    </row>
    <row r="44" spans="1:11">
      <c r="A44" s="33">
        <v>2021</v>
      </c>
      <c r="B44" s="122">
        <v>52</v>
      </c>
      <c r="C44" s="137"/>
      <c r="D44" s="116">
        <f>D43</f>
        <v>78830.142857142855</v>
      </c>
      <c r="E44" s="111">
        <f t="shared" si="4"/>
        <v>78830.142857142855</v>
      </c>
      <c r="F44" s="115">
        <v>1</v>
      </c>
      <c r="G44" s="112">
        <f t="shared" si="5"/>
        <v>78830.142857142855</v>
      </c>
    </row>
    <row r="45" spans="1:11" ht="15.75" thickBot="1">
      <c r="A45" s="17">
        <v>2022</v>
      </c>
      <c r="B45" s="127">
        <v>14</v>
      </c>
      <c r="C45" s="11"/>
      <c r="D45" s="195">
        <f>D44</f>
        <v>78830.142857142855</v>
      </c>
      <c r="E45" s="126">
        <f t="shared" si="4"/>
        <v>21223.5</v>
      </c>
      <c r="F45" s="170">
        <v>1</v>
      </c>
      <c r="G45" s="71">
        <f t="shared" si="5"/>
        <v>21223.5</v>
      </c>
    </row>
    <row r="46" spans="1:11" ht="15.75" thickBot="1">
      <c r="A46" s="109" t="s">
        <v>44</v>
      </c>
      <c r="B46" s="161">
        <f>SUM(B35:B45)</f>
        <v>520</v>
      </c>
      <c r="C46" s="234"/>
      <c r="D46" s="234"/>
      <c r="E46" s="234"/>
      <c r="F46" s="234"/>
      <c r="G46" s="138">
        <f>SUM(G35:G45)</f>
        <v>760226.08444164274</v>
      </c>
    </row>
    <row r="47" spans="1:11" ht="15.75" thickBot="1">
      <c r="A47" s="230"/>
      <c r="B47" s="230"/>
      <c r="C47" s="230"/>
      <c r="D47" s="230"/>
      <c r="E47" s="230"/>
      <c r="F47" s="230"/>
      <c r="G47" s="230"/>
    </row>
    <row r="48" spans="1:11" ht="15.75" thickBot="1">
      <c r="A48" s="422" t="s">
        <v>127</v>
      </c>
      <c r="B48" s="423"/>
      <c r="C48" s="423"/>
      <c r="D48" s="119">
        <f>G46/10/52</f>
        <v>1461.9732393108513</v>
      </c>
      <c r="E48" s="144"/>
      <c r="F48" s="110" t="s">
        <v>116</v>
      </c>
      <c r="G48" s="120">
        <v>926.66</v>
      </c>
      <c r="H48" s="468"/>
      <c r="I48" s="468"/>
      <c r="J48" s="468"/>
      <c r="K48" s="140"/>
    </row>
    <row r="49" spans="1:9" ht="15.75" thickBot="1">
      <c r="A49" s="230"/>
      <c r="B49" s="230"/>
      <c r="C49" s="230"/>
      <c r="D49" s="230"/>
      <c r="E49" s="230"/>
      <c r="F49" s="230"/>
      <c r="G49" s="230"/>
    </row>
    <row r="50" spans="1:9" ht="15.75" thickBot="1">
      <c r="A50" s="227" t="s">
        <v>75</v>
      </c>
      <c r="B50" s="228"/>
      <c r="C50" s="228"/>
      <c r="D50" s="228"/>
      <c r="E50" s="228"/>
      <c r="F50" s="228"/>
      <c r="G50" s="229"/>
    </row>
    <row r="51" spans="1:9" ht="15.75" thickBot="1">
      <c r="A51" s="231" t="s">
        <v>118</v>
      </c>
      <c r="B51" s="232"/>
      <c r="C51" s="232"/>
      <c r="D51" s="107" t="s">
        <v>119</v>
      </c>
      <c r="E51" s="107" t="s">
        <v>120</v>
      </c>
      <c r="F51" s="107" t="s">
        <v>121</v>
      </c>
      <c r="G51" s="80" t="s">
        <v>20</v>
      </c>
    </row>
    <row r="52" spans="1:9">
      <c r="A52" s="464" t="s">
        <v>122</v>
      </c>
      <c r="B52" s="465"/>
      <c r="C52" s="465"/>
      <c r="D52" s="124">
        <v>926.66</v>
      </c>
      <c r="E52" s="143">
        <v>1.1538E-3</v>
      </c>
      <c r="F52" s="145">
        <f>G10</f>
        <v>520</v>
      </c>
      <c r="G52" s="42">
        <f>D52*E52*F52</f>
        <v>555.97376015999998</v>
      </c>
    </row>
    <row r="53" spans="1:9">
      <c r="A53" s="466" t="s">
        <v>123</v>
      </c>
      <c r="B53" s="467"/>
      <c r="C53" s="467"/>
      <c r="D53" s="111">
        <f>D52*33%</f>
        <v>305.7978</v>
      </c>
      <c r="E53" s="141">
        <v>1.1538E-3</v>
      </c>
      <c r="F53" s="70">
        <f>F52</f>
        <v>520</v>
      </c>
      <c r="G53" s="112">
        <f t="shared" ref="G53:G54" si="6">D53*E53*F53</f>
        <v>183.47134085279998</v>
      </c>
    </row>
    <row r="54" spans="1:9" ht="15.75" thickBot="1">
      <c r="A54" s="466" t="s">
        <v>123</v>
      </c>
      <c r="B54" s="467"/>
      <c r="C54" s="467"/>
      <c r="D54" s="111">
        <f>D48-D52-D53</f>
        <v>229.51543931085138</v>
      </c>
      <c r="E54" s="142">
        <v>1.1538E-3</v>
      </c>
      <c r="F54" s="70">
        <f>F53</f>
        <v>520</v>
      </c>
      <c r="G54" s="112">
        <f t="shared" si="6"/>
        <v>137.70375521596736</v>
      </c>
    </row>
    <row r="55" spans="1:9" ht="15.75" thickBot="1">
      <c r="A55" s="461" t="s">
        <v>33</v>
      </c>
      <c r="B55" s="354"/>
      <c r="C55" s="354"/>
      <c r="D55" s="147">
        <f>SUM(D52:D54)</f>
        <v>1461.9732393108513</v>
      </c>
      <c r="E55" s="462"/>
      <c r="F55" s="463"/>
      <c r="G55" s="121">
        <f>SUM(G52:G54)</f>
        <v>877.14885622876739</v>
      </c>
    </row>
    <row r="56" spans="1:9" ht="15.75" thickBot="1">
      <c r="A56" s="272"/>
      <c r="B56" s="272"/>
      <c r="C56" s="272"/>
      <c r="D56" s="272"/>
      <c r="E56" s="272"/>
      <c r="F56" s="272"/>
      <c r="G56" s="272"/>
    </row>
    <row r="57" spans="1:9" ht="21.75" customHeight="1" thickBot="1">
      <c r="A57" s="227" t="s">
        <v>126</v>
      </c>
      <c r="B57" s="228"/>
      <c r="C57" s="228"/>
      <c r="D57" s="228"/>
      <c r="E57" s="228"/>
      <c r="F57" s="228"/>
      <c r="G57" s="229"/>
    </row>
    <row r="58" spans="1:9" ht="27" thickBot="1">
      <c r="A58" s="156" t="s">
        <v>27</v>
      </c>
      <c r="B58" s="157" t="s">
        <v>111</v>
      </c>
      <c r="C58" s="158"/>
      <c r="D58" s="159" t="s">
        <v>112</v>
      </c>
      <c r="E58" s="159" t="s">
        <v>110</v>
      </c>
      <c r="F58" s="159" t="s">
        <v>113</v>
      </c>
      <c r="G58" s="160" t="s">
        <v>114</v>
      </c>
    </row>
    <row r="59" spans="1:9">
      <c r="A59" s="165">
        <v>1993</v>
      </c>
      <c r="B59" s="125">
        <v>52</v>
      </c>
      <c r="C59" s="34"/>
      <c r="D59" s="124">
        <v>35611.699999999997</v>
      </c>
      <c r="E59" s="124">
        <f>D59/52*B59</f>
        <v>35611.699999999997</v>
      </c>
      <c r="F59" s="129">
        <v>1.9827999999999999</v>
      </c>
      <c r="G59" s="42">
        <f>E59*F59</f>
        <v>70610.878759999992</v>
      </c>
    </row>
    <row r="60" spans="1:9">
      <c r="A60" s="166">
        <v>1994</v>
      </c>
      <c r="B60" s="122">
        <v>52</v>
      </c>
      <c r="C60" s="137"/>
      <c r="D60" s="111">
        <v>37114.160000000003</v>
      </c>
      <c r="E60" s="111">
        <f t="shared" ref="E60:E88" si="7">D60/52*B60</f>
        <v>37114.160000000003</v>
      </c>
      <c r="F60" s="115">
        <v>1.8922000000000001</v>
      </c>
      <c r="G60" s="112">
        <f t="shared" ref="G60:G88" si="8">E60*F60</f>
        <v>70227.413552000013</v>
      </c>
    </row>
    <row r="61" spans="1:9">
      <c r="A61" s="166">
        <v>1995</v>
      </c>
      <c r="B61" s="122">
        <v>52</v>
      </c>
      <c r="C61" s="137"/>
      <c r="D61" s="111">
        <v>38565.14</v>
      </c>
      <c r="E61" s="111">
        <f t="shared" si="7"/>
        <v>38565.14</v>
      </c>
      <c r="F61" s="115">
        <v>1.7810999999999999</v>
      </c>
      <c r="G61" s="112">
        <f t="shared" si="8"/>
        <v>68688.370853999993</v>
      </c>
    </row>
    <row r="62" spans="1:9">
      <c r="A62" s="166">
        <v>1996</v>
      </c>
      <c r="B62" s="122">
        <v>52</v>
      </c>
      <c r="C62" s="137"/>
      <c r="D62" s="111">
        <v>40332.57</v>
      </c>
      <c r="E62" s="111">
        <f t="shared" si="7"/>
        <v>40332.57</v>
      </c>
      <c r="F62" s="115">
        <v>1.7003999999999999</v>
      </c>
      <c r="G62" s="112">
        <f t="shared" si="8"/>
        <v>68581.502028000003</v>
      </c>
      <c r="H62" s="177"/>
      <c r="I62" s="176"/>
    </row>
    <row r="63" spans="1:9">
      <c r="A63" s="166">
        <v>1997</v>
      </c>
      <c r="B63" s="122">
        <v>52</v>
      </c>
      <c r="C63" s="137"/>
      <c r="D63" s="111">
        <v>41124.15</v>
      </c>
      <c r="E63" s="111">
        <f t="shared" si="7"/>
        <v>41124.15</v>
      </c>
      <c r="F63" s="115">
        <v>1.6565000000000001</v>
      </c>
      <c r="G63" s="112">
        <f t="shared" si="8"/>
        <v>68122.154475000003</v>
      </c>
    </row>
    <row r="64" spans="1:9">
      <c r="A64" s="166">
        <v>1998</v>
      </c>
      <c r="B64" s="122">
        <v>52</v>
      </c>
      <c r="C64" s="137"/>
      <c r="D64" s="111">
        <v>42524.38</v>
      </c>
      <c r="E64" s="111">
        <f t="shared" si="7"/>
        <v>42524.38</v>
      </c>
      <c r="F64" s="115">
        <v>1.6142000000000001</v>
      </c>
      <c r="G64" s="112">
        <f t="shared" si="8"/>
        <v>68642.854196</v>
      </c>
    </row>
    <row r="65" spans="1:7">
      <c r="A65" s="166">
        <v>1999</v>
      </c>
      <c r="B65" s="122">
        <v>52</v>
      </c>
      <c r="C65" s="137"/>
      <c r="D65" s="111">
        <v>43221.46</v>
      </c>
      <c r="E65" s="111">
        <f t="shared" si="7"/>
        <v>43221.46</v>
      </c>
      <c r="F65" s="115">
        <v>1.5760000000000001</v>
      </c>
      <c r="G65" s="112">
        <f t="shared" si="8"/>
        <v>68117.020959999994</v>
      </c>
    </row>
    <row r="66" spans="1:7">
      <c r="A66" s="166">
        <v>2000</v>
      </c>
      <c r="B66" s="122">
        <v>52</v>
      </c>
      <c r="C66" s="137"/>
      <c r="D66" s="163">
        <f>63688.43/14*13</f>
        <v>59139.256428571432</v>
      </c>
      <c r="E66" s="111">
        <f t="shared" si="7"/>
        <v>59139.256428571432</v>
      </c>
      <c r="F66" s="115">
        <v>1.5230999999999999</v>
      </c>
      <c r="G66" s="112">
        <f t="shared" si="8"/>
        <v>90075.001466357149</v>
      </c>
    </row>
    <row r="67" spans="1:7">
      <c r="A67" s="166">
        <v>2001</v>
      </c>
      <c r="B67" s="122">
        <v>52</v>
      </c>
      <c r="C67" s="137"/>
      <c r="D67" s="163">
        <f>65134.51/14*13</f>
        <v>60482.044999999998</v>
      </c>
      <c r="E67" s="111">
        <f t="shared" si="7"/>
        <v>60482.044999999998</v>
      </c>
      <c r="F67" s="115">
        <v>1.4709000000000001</v>
      </c>
      <c r="G67" s="112">
        <f t="shared" si="8"/>
        <v>88963.039990500009</v>
      </c>
    </row>
    <row r="68" spans="1:7">
      <c r="A68" s="166">
        <v>2002</v>
      </c>
      <c r="B68" s="122">
        <v>52</v>
      </c>
      <c r="C68" s="137"/>
      <c r="D68" s="163">
        <f>68895/14*13</f>
        <v>63973.928571428572</v>
      </c>
      <c r="E68" s="111">
        <f t="shared" si="7"/>
        <v>63973.928571428572</v>
      </c>
      <c r="F68" s="115">
        <v>1.4227000000000001</v>
      </c>
      <c r="G68" s="112">
        <f t="shared" si="8"/>
        <v>91015.70817857144</v>
      </c>
    </row>
    <row r="69" spans="1:7">
      <c r="A69" s="166">
        <v>2003</v>
      </c>
      <c r="B69" s="122">
        <v>52</v>
      </c>
      <c r="C69" s="137"/>
      <c r="D69" s="164">
        <f>70584/14*13</f>
        <v>65542.28571428571</v>
      </c>
      <c r="E69" s="111">
        <f t="shared" si="7"/>
        <v>65542.28571428571</v>
      </c>
      <c r="F69" s="115">
        <v>1.3763000000000001</v>
      </c>
      <c r="G69" s="112">
        <f t="shared" si="8"/>
        <v>90205.847828571423</v>
      </c>
    </row>
    <row r="70" spans="1:7">
      <c r="A70" s="166">
        <v>2004</v>
      </c>
      <c r="B70" s="122">
        <v>52</v>
      </c>
      <c r="C70" s="137"/>
      <c r="D70" s="164">
        <f>72383/14*13</f>
        <v>67212.78571428571</v>
      </c>
      <c r="E70" s="111">
        <f t="shared" si="7"/>
        <v>67212.78571428571</v>
      </c>
      <c r="F70" s="115">
        <v>1.3384</v>
      </c>
      <c r="G70" s="112">
        <f t="shared" si="8"/>
        <v>89957.592399999994</v>
      </c>
    </row>
    <row r="71" spans="1:7">
      <c r="A71" s="166">
        <v>2005</v>
      </c>
      <c r="B71" s="122">
        <v>52</v>
      </c>
      <c r="C71" s="137"/>
      <c r="D71" s="164">
        <f>74245/14*13</f>
        <v>68941.78571428571</v>
      </c>
      <c r="E71" s="111">
        <f t="shared" si="7"/>
        <v>68941.78571428571</v>
      </c>
      <c r="F71" s="115">
        <v>1.3043</v>
      </c>
      <c r="G71" s="112">
        <f t="shared" si="8"/>
        <v>89920.771107142849</v>
      </c>
    </row>
    <row r="72" spans="1:7">
      <c r="A72" s="166">
        <v>2006</v>
      </c>
      <c r="B72" s="122">
        <v>52</v>
      </c>
      <c r="C72" s="137"/>
      <c r="D72" s="164">
        <f>72325/14*13</f>
        <v>67158.928571428565</v>
      </c>
      <c r="E72" s="111">
        <f t="shared" si="7"/>
        <v>67158.928571428565</v>
      </c>
      <c r="F72" s="115">
        <v>1.2672000000000001</v>
      </c>
      <c r="G72" s="112">
        <f t="shared" si="8"/>
        <v>85103.794285714292</v>
      </c>
    </row>
    <row r="73" spans="1:7">
      <c r="A73" s="166">
        <v>2007</v>
      </c>
      <c r="B73" s="122">
        <v>52</v>
      </c>
      <c r="C73" s="137"/>
      <c r="D73" s="164">
        <f>72325/14*13</f>
        <v>67158.928571428565</v>
      </c>
      <c r="E73" s="111">
        <f t="shared" si="7"/>
        <v>67158.928571428565</v>
      </c>
      <c r="F73" s="115">
        <v>1.2339</v>
      </c>
      <c r="G73" s="112">
        <f t="shared" si="8"/>
        <v>82867.401964285702</v>
      </c>
    </row>
    <row r="74" spans="1:7">
      <c r="A74" s="166">
        <v>2008</v>
      </c>
      <c r="B74" s="122">
        <v>52</v>
      </c>
      <c r="C74" s="137"/>
      <c r="D74" s="164">
        <f>75125/14*13</f>
        <v>69758.928571428565</v>
      </c>
      <c r="E74" s="111">
        <f t="shared" si="7"/>
        <v>69758.928571428565</v>
      </c>
      <c r="F74" s="115">
        <v>1.1848000000000001</v>
      </c>
      <c r="G74" s="112">
        <f t="shared" si="8"/>
        <v>82650.378571428562</v>
      </c>
    </row>
    <row r="75" spans="1:7">
      <c r="A75" s="166">
        <v>2009</v>
      </c>
      <c r="B75" s="122">
        <v>52</v>
      </c>
      <c r="C75" s="137"/>
      <c r="D75" s="164">
        <f>77225/14*13</f>
        <v>71708.928571428565</v>
      </c>
      <c r="E75" s="111">
        <f t="shared" si="7"/>
        <v>71708.928571428565</v>
      </c>
      <c r="F75" s="115">
        <v>1.1652</v>
      </c>
      <c r="G75" s="112">
        <f t="shared" si="8"/>
        <v>83555.243571428568</v>
      </c>
    </row>
    <row r="76" spans="1:7">
      <c r="A76" s="166">
        <v>2010</v>
      </c>
      <c r="B76" s="122">
        <v>52</v>
      </c>
      <c r="C76" s="137"/>
      <c r="D76" s="164">
        <f>77225/14*13</f>
        <v>71708.928571428565</v>
      </c>
      <c r="E76" s="111">
        <f t="shared" si="7"/>
        <v>71708.928571428565</v>
      </c>
      <c r="F76" s="115">
        <v>1.1363000000000001</v>
      </c>
      <c r="G76" s="112">
        <f t="shared" si="8"/>
        <v>81482.85553571429</v>
      </c>
    </row>
    <row r="77" spans="1:7">
      <c r="A77" s="166">
        <v>2011</v>
      </c>
      <c r="B77" s="122">
        <v>52</v>
      </c>
      <c r="C77" s="137"/>
      <c r="D77" s="164">
        <f>77625/14*13</f>
        <v>72080.357142857145</v>
      </c>
      <c r="E77" s="111">
        <f t="shared" si="7"/>
        <v>72080.357142857145</v>
      </c>
      <c r="F77" s="115">
        <v>1.0962000000000001</v>
      </c>
      <c r="G77" s="112">
        <f t="shared" si="8"/>
        <v>79014.487500000003</v>
      </c>
    </row>
    <row r="78" spans="1:7">
      <c r="A78" s="166">
        <v>2012</v>
      </c>
      <c r="B78" s="122">
        <v>52</v>
      </c>
      <c r="C78" s="137"/>
      <c r="D78" s="164">
        <f>77329.72/14*13</f>
        <v>71806.16857142857</v>
      </c>
      <c r="E78" s="111">
        <f t="shared" si="7"/>
        <v>71806.16857142857</v>
      </c>
      <c r="F78" s="115">
        <v>1.0535000000000001</v>
      </c>
      <c r="G78" s="112">
        <f t="shared" si="8"/>
        <v>75647.798590000006</v>
      </c>
    </row>
    <row r="79" spans="1:7">
      <c r="A79" s="166">
        <v>2013</v>
      </c>
      <c r="B79" s="122">
        <v>52</v>
      </c>
      <c r="C79" s="137"/>
      <c r="D79" s="164">
        <f>(50773+19433.71)/14*13</f>
        <v>65191.944999999992</v>
      </c>
      <c r="E79" s="111">
        <f t="shared" si="7"/>
        <v>65191.944999999992</v>
      </c>
      <c r="F79" s="115">
        <v>1.0321</v>
      </c>
      <c r="G79" s="112">
        <f t="shared" si="8"/>
        <v>67284.60643449999</v>
      </c>
    </row>
    <row r="80" spans="1:7">
      <c r="A80" s="166">
        <v>2014</v>
      </c>
      <c r="B80" s="122">
        <v>52</v>
      </c>
      <c r="C80" s="137"/>
      <c r="D80" s="164">
        <f>81254/14*13</f>
        <v>75450.142857142855</v>
      </c>
      <c r="E80" s="111">
        <f t="shared" si="7"/>
        <v>75450.142857142855</v>
      </c>
      <c r="F80" s="115">
        <v>1.02</v>
      </c>
      <c r="G80" s="112">
        <f t="shared" si="8"/>
        <v>76959.145714285711</v>
      </c>
    </row>
    <row r="81" spans="1:7">
      <c r="A81" s="166">
        <v>2015</v>
      </c>
      <c r="B81" s="122">
        <v>52</v>
      </c>
      <c r="C81" s="137"/>
      <c r="D81" s="164">
        <f>(70891+12007)/14*13</f>
        <v>76976.71428571429</v>
      </c>
      <c r="E81" s="111">
        <f t="shared" si="7"/>
        <v>76976.71428571429</v>
      </c>
      <c r="F81" s="115">
        <v>1.01</v>
      </c>
      <c r="G81" s="112">
        <f t="shared" si="8"/>
        <v>77746.481428571438</v>
      </c>
    </row>
    <row r="82" spans="1:7">
      <c r="A82" s="166">
        <v>2016</v>
      </c>
      <c r="B82" s="122">
        <v>52</v>
      </c>
      <c r="C82" s="137"/>
      <c r="D82" s="164">
        <f>84894/14*13</f>
        <v>78830.142857142855</v>
      </c>
      <c r="E82" s="111">
        <f t="shared" si="7"/>
        <v>78830.142857142855</v>
      </c>
      <c r="F82" s="115">
        <v>1</v>
      </c>
      <c r="G82" s="112">
        <f t="shared" si="8"/>
        <v>78830.142857142855</v>
      </c>
    </row>
    <row r="83" spans="1:7">
      <c r="A83" s="166">
        <v>2017</v>
      </c>
      <c r="B83" s="122">
        <v>52</v>
      </c>
      <c r="C83" s="137"/>
      <c r="D83" s="164">
        <f>84894/14*13</f>
        <v>78830.142857142855</v>
      </c>
      <c r="E83" s="111">
        <f t="shared" si="7"/>
        <v>78830.142857142855</v>
      </c>
      <c r="F83" s="115">
        <v>1</v>
      </c>
      <c r="G83" s="112">
        <f t="shared" si="8"/>
        <v>78830.142857142855</v>
      </c>
    </row>
    <row r="84" spans="1:7">
      <c r="A84" s="166">
        <v>2018</v>
      </c>
      <c r="B84" s="122">
        <v>52</v>
      </c>
      <c r="C84" s="137"/>
      <c r="D84" s="164">
        <f>84894/14*13</f>
        <v>78830.142857142855</v>
      </c>
      <c r="E84" s="111">
        <f t="shared" si="7"/>
        <v>78830.142857142855</v>
      </c>
      <c r="F84" s="115">
        <v>1</v>
      </c>
      <c r="G84" s="112">
        <f t="shared" si="8"/>
        <v>78830.142857142855</v>
      </c>
    </row>
    <row r="85" spans="1:7">
      <c r="A85" s="166">
        <v>2019</v>
      </c>
      <c r="B85" s="122">
        <v>52</v>
      </c>
      <c r="C85" s="137"/>
      <c r="D85" s="164">
        <f>84894/14*13</f>
        <v>78830.142857142855</v>
      </c>
      <c r="E85" s="111">
        <f t="shared" si="7"/>
        <v>78830.142857142855</v>
      </c>
      <c r="F85" s="115">
        <v>1</v>
      </c>
      <c r="G85" s="112">
        <f t="shared" si="8"/>
        <v>78830.142857142855</v>
      </c>
    </row>
    <row r="86" spans="1:7">
      <c r="A86" s="167">
        <v>2020</v>
      </c>
      <c r="B86" s="122">
        <v>52</v>
      </c>
      <c r="C86" s="137"/>
      <c r="D86" s="164">
        <f t="shared" ref="D86:D88" si="9">84894/14*13</f>
        <v>78830.142857142855</v>
      </c>
      <c r="E86" s="111">
        <f t="shared" si="7"/>
        <v>78830.142857142855</v>
      </c>
      <c r="F86" s="115">
        <v>1</v>
      </c>
      <c r="G86" s="112">
        <f t="shared" si="8"/>
        <v>78830.142857142855</v>
      </c>
    </row>
    <row r="87" spans="1:7">
      <c r="A87" s="167">
        <v>2021</v>
      </c>
      <c r="B87" s="122">
        <v>52</v>
      </c>
      <c r="C87" s="137"/>
      <c r="D87" s="164">
        <f t="shared" si="9"/>
        <v>78830.142857142855</v>
      </c>
      <c r="E87" s="111">
        <f t="shared" si="7"/>
        <v>78830.142857142855</v>
      </c>
      <c r="F87" s="115">
        <v>1</v>
      </c>
      <c r="G87" s="112">
        <f t="shared" si="8"/>
        <v>78830.142857142855</v>
      </c>
    </row>
    <row r="88" spans="1:7" ht="15.75" thickBot="1">
      <c r="A88" s="168">
        <v>2022</v>
      </c>
      <c r="B88" s="127">
        <v>14</v>
      </c>
      <c r="C88" s="11"/>
      <c r="D88" s="169">
        <f t="shared" si="9"/>
        <v>78830.142857142855</v>
      </c>
      <c r="E88" s="126">
        <f t="shared" si="7"/>
        <v>21223.5</v>
      </c>
      <c r="F88" s="170">
        <v>1</v>
      </c>
      <c r="G88" s="71">
        <f t="shared" si="8"/>
        <v>21223.5</v>
      </c>
    </row>
    <row r="89" spans="1:7" ht="15.75" thickBot="1">
      <c r="A89" s="109" t="s">
        <v>44</v>
      </c>
      <c r="B89" s="171">
        <f>SUM(B59:B88)</f>
        <v>1522</v>
      </c>
      <c r="C89" s="234"/>
      <c r="D89" s="234"/>
      <c r="E89" s="234"/>
      <c r="F89" s="234"/>
      <c r="G89" s="138">
        <f>SUM(G59:G88)</f>
        <v>2309644.7065349286</v>
      </c>
    </row>
    <row r="90" spans="1:7" ht="15.75" thickBot="1">
      <c r="A90" s="272"/>
      <c r="B90" s="272"/>
      <c r="C90" s="272"/>
      <c r="D90" s="272"/>
      <c r="E90" s="272"/>
      <c r="F90" s="272"/>
      <c r="G90" s="272"/>
    </row>
    <row r="91" spans="1:7" ht="15.75" thickBot="1">
      <c r="A91" s="422" t="s">
        <v>127</v>
      </c>
      <c r="B91" s="423"/>
      <c r="C91" s="423"/>
      <c r="D91" s="119">
        <f>G89/B89*52/52</f>
        <v>1517.5063774868124</v>
      </c>
      <c r="E91" s="144"/>
      <c r="F91" s="110" t="s">
        <v>116</v>
      </c>
      <c r="G91" s="120">
        <v>926.66</v>
      </c>
    </row>
    <row r="92" spans="1:7">
      <c r="A92" s="272"/>
      <c r="B92" s="272"/>
      <c r="C92" s="272"/>
      <c r="D92" s="272"/>
      <c r="E92" s="272"/>
      <c r="F92" s="272"/>
      <c r="G92" s="272"/>
    </row>
    <row r="93" spans="1:7" ht="15.75" thickBot="1">
      <c r="A93" s="413" t="s">
        <v>128</v>
      </c>
      <c r="B93" s="413"/>
      <c r="C93" s="413"/>
      <c r="D93" s="413"/>
      <c r="E93" s="413"/>
      <c r="F93" s="413"/>
      <c r="G93" s="413"/>
    </row>
    <row r="94" spans="1:7" ht="15.75" thickBot="1">
      <c r="A94" s="231" t="s">
        <v>118</v>
      </c>
      <c r="B94" s="232"/>
      <c r="C94" s="232"/>
      <c r="D94" s="107" t="s">
        <v>119</v>
      </c>
      <c r="E94" s="107" t="s">
        <v>120</v>
      </c>
      <c r="F94" s="107" t="s">
        <v>121</v>
      </c>
      <c r="G94" s="80" t="s">
        <v>20</v>
      </c>
    </row>
    <row r="95" spans="1:7">
      <c r="A95" s="464" t="s">
        <v>122</v>
      </c>
      <c r="B95" s="465"/>
      <c r="C95" s="465"/>
      <c r="D95" s="124">
        <v>926.66</v>
      </c>
      <c r="E95" s="143">
        <v>1.1538E-3</v>
      </c>
      <c r="F95" s="145">
        <f>52*3</f>
        <v>156</v>
      </c>
      <c r="G95" s="42">
        <f>D95*E95*F95</f>
        <v>166.792128048</v>
      </c>
    </row>
    <row r="96" spans="1:7">
      <c r="A96" s="466" t="s">
        <v>123</v>
      </c>
      <c r="B96" s="467"/>
      <c r="C96" s="467"/>
      <c r="D96" s="111">
        <f>D95*33%</f>
        <v>305.7978</v>
      </c>
      <c r="E96" s="141">
        <v>1.1538E-3</v>
      </c>
      <c r="F96" s="70">
        <f>F95</f>
        <v>156</v>
      </c>
      <c r="G96" s="112">
        <f t="shared" ref="G96:G97" si="10">D96*E96*F96</f>
        <v>55.041402255839998</v>
      </c>
    </row>
    <row r="97" spans="1:11" ht="15.75" thickBot="1">
      <c r="A97" s="466" t="s">
        <v>123</v>
      </c>
      <c r="B97" s="467"/>
      <c r="C97" s="467"/>
      <c r="D97" s="111">
        <f>D91-D95-D96</f>
        <v>285.04857748681246</v>
      </c>
      <c r="E97" s="142">
        <v>1.1538E-3</v>
      </c>
      <c r="F97" s="70">
        <f>F96</f>
        <v>156</v>
      </c>
      <c r="G97" s="112">
        <f t="shared" si="10"/>
        <v>51.306691597868337</v>
      </c>
    </row>
    <row r="98" spans="1:11" ht="15.75" thickBot="1">
      <c r="A98" s="461" t="s">
        <v>33</v>
      </c>
      <c r="B98" s="354"/>
      <c r="C98" s="354"/>
      <c r="D98" s="147">
        <f>SUM(D95:D97)</f>
        <v>1517.5063774868124</v>
      </c>
      <c r="E98" s="462"/>
      <c r="F98" s="463"/>
      <c r="G98" s="121">
        <f>SUM(G95:G97)</f>
        <v>273.14022190170834</v>
      </c>
    </row>
    <row r="99" spans="1:11" ht="15.75" thickBot="1">
      <c r="A99" s="272"/>
      <c r="B99" s="272"/>
      <c r="C99" s="272"/>
      <c r="D99" s="272"/>
      <c r="E99" s="272"/>
      <c r="F99" s="272"/>
      <c r="G99" s="272"/>
    </row>
    <row r="100" spans="1:11" ht="15.75" thickBot="1">
      <c r="A100" s="227" t="s">
        <v>154</v>
      </c>
      <c r="B100" s="228"/>
      <c r="C100" s="228"/>
      <c r="D100" s="228"/>
      <c r="E100" s="228"/>
      <c r="F100" s="228"/>
      <c r="G100" s="229"/>
    </row>
    <row r="101" spans="1:11" ht="15.75" thickBot="1">
      <c r="A101" s="231" t="s">
        <v>85</v>
      </c>
      <c r="B101" s="232"/>
      <c r="C101" s="232"/>
      <c r="D101" s="232"/>
      <c r="E101" s="232"/>
      <c r="F101" s="232"/>
      <c r="G101" s="232"/>
      <c r="H101" s="173"/>
      <c r="I101" s="173"/>
      <c r="J101" s="173"/>
      <c r="K101" s="173"/>
    </row>
    <row r="102" spans="1:11" ht="15.75" thickBot="1">
      <c r="A102" s="132" t="s">
        <v>27</v>
      </c>
      <c r="B102" s="133" t="s">
        <v>111</v>
      </c>
      <c r="C102" s="133" t="s">
        <v>129</v>
      </c>
      <c r="D102" s="133" t="s">
        <v>47</v>
      </c>
      <c r="E102" s="133" t="s">
        <v>130</v>
      </c>
      <c r="F102" s="181" t="s">
        <v>131</v>
      </c>
      <c r="G102" s="182" t="s">
        <v>55</v>
      </c>
      <c r="H102" s="175"/>
      <c r="I102" s="460"/>
      <c r="J102" s="460"/>
      <c r="K102" s="174"/>
    </row>
    <row r="103" spans="1:11">
      <c r="A103" s="165">
        <v>1996</v>
      </c>
      <c r="B103" s="125">
        <v>52</v>
      </c>
      <c r="C103" s="134">
        <v>0.33</v>
      </c>
      <c r="D103" s="124">
        <f>40332.57+2720</f>
        <v>43052.57</v>
      </c>
      <c r="E103" s="124">
        <f>D103/52*B103*C103</f>
        <v>14207.348100000001</v>
      </c>
      <c r="F103" s="34"/>
      <c r="G103" s="42">
        <f>E103</f>
        <v>14207.348100000001</v>
      </c>
    </row>
    <row r="104" spans="1:11">
      <c r="A104" s="166">
        <v>1997</v>
      </c>
      <c r="B104" s="122">
        <v>52</v>
      </c>
      <c r="C104" s="117">
        <v>0.33</v>
      </c>
      <c r="D104" s="111">
        <f>41124.15+2880</f>
        <v>44004.15</v>
      </c>
      <c r="E104" s="111">
        <f t="shared" ref="E104:E129" si="11">D104/52*B104*C104</f>
        <v>14521.369500000001</v>
      </c>
      <c r="F104" s="179">
        <v>1.0620540000000001</v>
      </c>
      <c r="G104" s="112">
        <f>G103*F104+E104</f>
        <v>29610.340378997404</v>
      </c>
    </row>
    <row r="105" spans="1:11">
      <c r="A105" s="166">
        <v>1998</v>
      </c>
      <c r="B105" s="122">
        <v>52</v>
      </c>
      <c r="C105" s="117">
        <v>0.33</v>
      </c>
      <c r="D105" s="111">
        <f>42524.38+3100</f>
        <v>45624.38</v>
      </c>
      <c r="E105" s="111">
        <f t="shared" si="11"/>
        <v>15056.045399999999</v>
      </c>
      <c r="F105" s="179">
        <v>1.055871</v>
      </c>
      <c r="G105" s="112">
        <f>G104*F105+E105</f>
        <v>46320.745106312366</v>
      </c>
    </row>
    <row r="106" spans="1:11">
      <c r="A106" s="166">
        <v>1999</v>
      </c>
      <c r="B106" s="122">
        <v>52</v>
      </c>
      <c r="C106" s="117">
        <v>0.33</v>
      </c>
      <c r="D106" s="178">
        <f>46546.19</f>
        <v>46546.19</v>
      </c>
      <c r="E106" s="111">
        <f t="shared" si="11"/>
        <v>15360.242700000001</v>
      </c>
      <c r="F106" s="179">
        <v>1.0535969999999999</v>
      </c>
      <c r="G106" s="112">
        <f t="shared" ref="G106:G129" si="12">G105*F106+E106</f>
        <v>64163.640781775386</v>
      </c>
    </row>
    <row r="107" spans="1:11">
      <c r="A107" s="166">
        <v>2000</v>
      </c>
      <c r="B107" s="122">
        <v>52</v>
      </c>
      <c r="C107" s="117">
        <v>0.33</v>
      </c>
      <c r="D107" s="178">
        <v>63688.43</v>
      </c>
      <c r="E107" s="111">
        <f t="shared" si="11"/>
        <v>21017.1819</v>
      </c>
      <c r="F107" s="179">
        <v>1.056503</v>
      </c>
      <c r="G107" s="112">
        <f t="shared" si="12"/>
        <v>88806.260876868037</v>
      </c>
    </row>
    <row r="108" spans="1:11">
      <c r="A108" s="166">
        <v>2001</v>
      </c>
      <c r="B108" s="122">
        <v>52</v>
      </c>
      <c r="C108" s="117">
        <v>0.33</v>
      </c>
      <c r="D108" s="178">
        <v>65134.51</v>
      </c>
      <c r="E108" s="111">
        <f t="shared" si="11"/>
        <v>21494.388300000002</v>
      </c>
      <c r="F108" s="179">
        <v>1.0517810000000001</v>
      </c>
      <c r="G108" s="112">
        <f t="shared" si="12"/>
        <v>114899.12617133315</v>
      </c>
    </row>
    <row r="109" spans="1:11">
      <c r="A109" s="166">
        <v>2002</v>
      </c>
      <c r="B109" s="122">
        <v>52</v>
      </c>
      <c r="C109" s="117">
        <v>0.33</v>
      </c>
      <c r="D109" s="178">
        <v>68895</v>
      </c>
      <c r="E109" s="111">
        <f t="shared" si="11"/>
        <v>22735.350000000002</v>
      </c>
      <c r="F109" s="180">
        <v>1.0477810000000001</v>
      </c>
      <c r="G109" s="112">
        <f t="shared" si="12"/>
        <v>143124.47131892561</v>
      </c>
    </row>
    <row r="110" spans="1:11">
      <c r="A110" s="166">
        <v>2003</v>
      </c>
      <c r="B110" s="122">
        <v>52</v>
      </c>
      <c r="C110" s="117">
        <v>0.33</v>
      </c>
      <c r="D110" s="164">
        <f>70584</f>
        <v>70584</v>
      </c>
      <c r="E110" s="111">
        <f t="shared" si="11"/>
        <v>23292.720000000001</v>
      </c>
      <c r="F110" s="180">
        <v>1.043698</v>
      </c>
      <c r="G110" s="112">
        <f t="shared" si="12"/>
        <v>172671.44446662004</v>
      </c>
    </row>
    <row r="111" spans="1:11">
      <c r="A111" s="166">
        <v>2004</v>
      </c>
      <c r="B111" s="122">
        <v>52</v>
      </c>
      <c r="C111" s="117">
        <v>0.33</v>
      </c>
      <c r="D111" s="164">
        <f>72383</f>
        <v>72383</v>
      </c>
      <c r="E111" s="111">
        <f t="shared" si="11"/>
        <v>23886.39</v>
      </c>
      <c r="F111" s="180">
        <v>1.041614</v>
      </c>
      <c r="G111" s="112">
        <f t="shared" si="12"/>
        <v>203743.383956654</v>
      </c>
    </row>
    <row r="112" spans="1:11">
      <c r="A112" s="166">
        <v>2005</v>
      </c>
      <c r="B112" s="122">
        <v>52</v>
      </c>
      <c r="C112" s="117">
        <v>0.33</v>
      </c>
      <c r="D112" s="164">
        <f>74245</f>
        <v>74245</v>
      </c>
      <c r="E112" s="111">
        <f t="shared" si="11"/>
        <v>24500.850000000002</v>
      </c>
      <c r="F112" s="180">
        <v>1.039272</v>
      </c>
      <c r="G112" s="112">
        <f t="shared" si="12"/>
        <v>236245.64413139972</v>
      </c>
    </row>
    <row r="113" spans="1:7">
      <c r="A113" s="166">
        <v>2006</v>
      </c>
      <c r="B113" s="122">
        <v>52</v>
      </c>
      <c r="C113" s="117">
        <v>0.33</v>
      </c>
      <c r="D113" s="164">
        <f>72325</f>
        <v>72325</v>
      </c>
      <c r="E113" s="111">
        <f t="shared" si="11"/>
        <v>23867.25</v>
      </c>
      <c r="F113" s="180">
        <v>1.0405059999999999</v>
      </c>
      <c r="G113" s="112">
        <f t="shared" si="12"/>
        <v>269682.26019258617</v>
      </c>
    </row>
    <row r="114" spans="1:7">
      <c r="A114" s="166">
        <v>2007</v>
      </c>
      <c r="B114" s="122">
        <v>52</v>
      </c>
      <c r="C114" s="117">
        <v>0.33</v>
      </c>
      <c r="D114" s="164">
        <f>72325</f>
        <v>72325</v>
      </c>
      <c r="E114" s="111">
        <f t="shared" si="11"/>
        <v>23867.25</v>
      </c>
      <c r="F114" s="180">
        <v>1.0353859999999999</v>
      </c>
      <c r="G114" s="112">
        <f t="shared" si="12"/>
        <v>303092.48665176099</v>
      </c>
    </row>
    <row r="115" spans="1:7">
      <c r="A115" s="166">
        <v>2008</v>
      </c>
      <c r="B115" s="122">
        <v>52</v>
      </c>
      <c r="C115" s="117">
        <v>0.33</v>
      </c>
      <c r="D115" s="164">
        <f>75125</f>
        <v>75125</v>
      </c>
      <c r="E115" s="111">
        <f t="shared" si="11"/>
        <v>24791.25</v>
      </c>
      <c r="F115" s="180">
        <v>1.0339370000000001</v>
      </c>
      <c r="G115" s="112">
        <f t="shared" si="12"/>
        <v>338169.78637126181</v>
      </c>
    </row>
    <row r="116" spans="1:7">
      <c r="A116" s="166">
        <v>2009</v>
      </c>
      <c r="B116" s="122">
        <v>52</v>
      </c>
      <c r="C116" s="117">
        <v>0.33</v>
      </c>
      <c r="D116" s="164">
        <f>77225</f>
        <v>77225</v>
      </c>
      <c r="E116" s="111">
        <f t="shared" si="11"/>
        <v>25484.25</v>
      </c>
      <c r="F116" s="180">
        <v>1.0346249999999999</v>
      </c>
      <c r="G116" s="112">
        <f t="shared" si="12"/>
        <v>375363.1652243667</v>
      </c>
    </row>
    <row r="117" spans="1:7">
      <c r="A117" s="166">
        <v>2010</v>
      </c>
      <c r="B117" s="122">
        <v>52</v>
      </c>
      <c r="C117" s="117">
        <v>0.33</v>
      </c>
      <c r="D117" s="164">
        <f>77225</f>
        <v>77225</v>
      </c>
      <c r="E117" s="111">
        <f t="shared" si="11"/>
        <v>25484.25</v>
      </c>
      <c r="F117" s="180">
        <v>1.033201</v>
      </c>
      <c r="G117" s="112">
        <f t="shared" si="12"/>
        <v>413309.84767298092</v>
      </c>
    </row>
    <row r="118" spans="1:7">
      <c r="A118" s="166">
        <v>2011</v>
      </c>
      <c r="B118" s="122">
        <v>52</v>
      </c>
      <c r="C118" s="117">
        <v>0.33</v>
      </c>
      <c r="D118" s="164">
        <f>77625</f>
        <v>77625</v>
      </c>
      <c r="E118" s="111">
        <f t="shared" si="11"/>
        <v>25616.25</v>
      </c>
      <c r="F118" s="180">
        <v>1.017935</v>
      </c>
      <c r="G118" s="112">
        <f t="shared" si="12"/>
        <v>446338.80979099585</v>
      </c>
    </row>
    <row r="119" spans="1:7">
      <c r="A119" s="166">
        <v>2012</v>
      </c>
      <c r="B119" s="122">
        <v>52</v>
      </c>
      <c r="C119" s="117">
        <v>0.33</v>
      </c>
      <c r="D119" s="164">
        <f>77329.72</f>
        <v>77329.72</v>
      </c>
      <c r="E119" s="111">
        <f t="shared" si="11"/>
        <v>25518.8076</v>
      </c>
      <c r="F119" s="122">
        <v>1.016165</v>
      </c>
      <c r="G119" s="112">
        <f t="shared" si="12"/>
        <v>479072.68425126729</v>
      </c>
    </row>
    <row r="120" spans="1:7">
      <c r="A120" s="166">
        <v>2013</v>
      </c>
      <c r="B120" s="122">
        <v>52</v>
      </c>
      <c r="C120" s="117">
        <v>0.33</v>
      </c>
      <c r="D120" s="164">
        <f>(50773+19433.71)</f>
        <v>70206.709999999992</v>
      </c>
      <c r="E120" s="111">
        <f t="shared" si="11"/>
        <v>23168.2143</v>
      </c>
      <c r="F120" s="122">
        <v>1.011344</v>
      </c>
      <c r="G120" s="112">
        <f t="shared" si="12"/>
        <v>507675.49908141367</v>
      </c>
    </row>
    <row r="121" spans="1:7">
      <c r="A121" s="166">
        <v>2014</v>
      </c>
      <c r="B121" s="122">
        <v>52</v>
      </c>
      <c r="C121" s="117">
        <v>0.33</v>
      </c>
      <c r="D121" s="164">
        <f>81254</f>
        <v>81254</v>
      </c>
      <c r="E121" s="111">
        <f t="shared" si="11"/>
        <v>26813.82</v>
      </c>
      <c r="F121" s="123">
        <v>1.0016430000000001</v>
      </c>
      <c r="G121" s="112">
        <f t="shared" si="12"/>
        <v>535323.4299264045</v>
      </c>
    </row>
    <row r="122" spans="1:7">
      <c r="A122" s="166">
        <v>2015</v>
      </c>
      <c r="B122" s="122">
        <v>52</v>
      </c>
      <c r="C122" s="117">
        <v>0.33</v>
      </c>
      <c r="D122" s="164">
        <f>(70891+12007)</f>
        <v>82898</v>
      </c>
      <c r="E122" s="111">
        <f t="shared" si="11"/>
        <v>27356.34</v>
      </c>
      <c r="F122" s="123">
        <v>1</v>
      </c>
      <c r="G122" s="112">
        <f t="shared" si="12"/>
        <v>562679.76992640446</v>
      </c>
    </row>
    <row r="123" spans="1:7">
      <c r="A123" s="166">
        <v>2016</v>
      </c>
      <c r="B123" s="122">
        <v>52</v>
      </c>
      <c r="C123" s="117">
        <v>0.33</v>
      </c>
      <c r="D123" s="164">
        <f>84894</f>
        <v>84894</v>
      </c>
      <c r="E123" s="111">
        <f t="shared" si="11"/>
        <v>28015.02</v>
      </c>
      <c r="F123" s="122">
        <v>1.005058</v>
      </c>
      <c r="G123" s="112">
        <f t="shared" si="12"/>
        <v>593540.82420269225</v>
      </c>
    </row>
    <row r="124" spans="1:7">
      <c r="A124" s="166">
        <v>2017</v>
      </c>
      <c r="B124" s="122">
        <v>52</v>
      </c>
      <c r="C124" s="117">
        <v>0.33</v>
      </c>
      <c r="D124" s="164">
        <f>84894</f>
        <v>84894</v>
      </c>
      <c r="E124" s="111">
        <f t="shared" si="11"/>
        <v>28015.02</v>
      </c>
      <c r="F124" s="122">
        <v>1.0046839999999999</v>
      </c>
      <c r="G124" s="112">
        <f t="shared" si="12"/>
        <v>624335.98942325765</v>
      </c>
    </row>
    <row r="125" spans="1:7">
      <c r="A125" s="166">
        <v>2018</v>
      </c>
      <c r="B125" s="122">
        <v>52</v>
      </c>
      <c r="C125" s="117">
        <v>0.33</v>
      </c>
      <c r="D125" s="164">
        <f>84894</f>
        <v>84894</v>
      </c>
      <c r="E125" s="111">
        <f t="shared" si="11"/>
        <v>28015.02</v>
      </c>
      <c r="F125" s="183">
        <v>1</v>
      </c>
      <c r="G125" s="112">
        <f t="shared" si="12"/>
        <v>652351.00942325767</v>
      </c>
    </row>
    <row r="126" spans="1:7">
      <c r="A126" s="166">
        <v>2019</v>
      </c>
      <c r="B126" s="122">
        <v>52</v>
      </c>
      <c r="C126" s="117">
        <v>0.33</v>
      </c>
      <c r="D126" s="164">
        <f>84894</f>
        <v>84894</v>
      </c>
      <c r="E126" s="111">
        <f t="shared" si="11"/>
        <v>28015.02</v>
      </c>
      <c r="F126" s="183">
        <v>1</v>
      </c>
      <c r="G126" s="112">
        <f t="shared" si="12"/>
        <v>680366.02942325769</v>
      </c>
    </row>
    <row r="127" spans="1:7">
      <c r="A127" s="167">
        <v>2020</v>
      </c>
      <c r="B127" s="122">
        <v>52</v>
      </c>
      <c r="C127" s="117">
        <v>0.33</v>
      </c>
      <c r="D127" s="164">
        <f t="shared" ref="D127:D129" si="13">84894</f>
        <v>84894</v>
      </c>
      <c r="E127" s="111">
        <f t="shared" si="11"/>
        <v>28015.02</v>
      </c>
      <c r="F127" s="183">
        <v>1</v>
      </c>
      <c r="G127" s="112">
        <f t="shared" si="12"/>
        <v>708381.0494232577</v>
      </c>
    </row>
    <row r="128" spans="1:7">
      <c r="A128" s="167">
        <v>2021</v>
      </c>
      <c r="B128" s="122">
        <v>52</v>
      </c>
      <c r="C128" s="117">
        <v>0.33</v>
      </c>
      <c r="D128" s="164">
        <f t="shared" si="13"/>
        <v>84894</v>
      </c>
      <c r="E128" s="111">
        <f t="shared" si="11"/>
        <v>28015.02</v>
      </c>
      <c r="F128" s="183">
        <v>1</v>
      </c>
      <c r="G128" s="112">
        <f t="shared" si="12"/>
        <v>736396.06942325772</v>
      </c>
    </row>
    <row r="129" spans="1:7" ht="15.75" thickBot="1">
      <c r="A129" s="184">
        <v>2022</v>
      </c>
      <c r="B129" s="60">
        <v>14</v>
      </c>
      <c r="C129" s="118">
        <v>0.33</v>
      </c>
      <c r="D129" s="185">
        <f t="shared" si="13"/>
        <v>84894</v>
      </c>
      <c r="E129" s="113">
        <f t="shared" si="11"/>
        <v>7542.5053846153842</v>
      </c>
      <c r="F129" s="186">
        <v>1</v>
      </c>
      <c r="G129" s="114">
        <f t="shared" si="12"/>
        <v>743938.57480787311</v>
      </c>
    </row>
    <row r="130" spans="1:7" ht="15.75" thickBot="1">
      <c r="A130" s="252" t="s">
        <v>132</v>
      </c>
      <c r="B130" s="250"/>
      <c r="C130" s="250"/>
      <c r="D130" s="250"/>
      <c r="E130" s="250"/>
      <c r="F130" s="250"/>
      <c r="G130" s="121">
        <f>G129</f>
        <v>743938.57480787311</v>
      </c>
    </row>
    <row r="131" spans="1:7" ht="15.75" thickBot="1">
      <c r="A131" s="272"/>
      <c r="B131" s="272"/>
      <c r="C131" s="272"/>
      <c r="D131" s="272"/>
      <c r="E131" s="272"/>
      <c r="F131" s="272"/>
      <c r="G131" s="272"/>
    </row>
    <row r="132" spans="1:7" ht="15.75" thickBot="1">
      <c r="A132" s="227" t="s">
        <v>133</v>
      </c>
      <c r="B132" s="230"/>
      <c r="C132" s="230"/>
      <c r="D132" s="230"/>
      <c r="E132" s="230"/>
      <c r="F132" s="230"/>
      <c r="G132" s="441"/>
    </row>
    <row r="133" spans="1:7" ht="15.75" thickBot="1">
      <c r="A133" s="272"/>
      <c r="B133" s="272"/>
      <c r="C133" s="272"/>
      <c r="D133" s="272"/>
      <c r="E133" s="272"/>
      <c r="F133" s="272"/>
      <c r="G133" s="272"/>
    </row>
    <row r="134" spans="1:7" ht="15.75" thickBot="1">
      <c r="A134" s="332" t="s">
        <v>134</v>
      </c>
      <c r="B134" s="333"/>
      <c r="C134" s="250" t="s">
        <v>135</v>
      </c>
      <c r="D134" s="250"/>
      <c r="E134" s="333" t="s">
        <v>137</v>
      </c>
      <c r="F134" s="333"/>
      <c r="G134" s="189" t="s">
        <v>90</v>
      </c>
    </row>
    <row r="135" spans="1:7" ht="15.75" thickBot="1">
      <c r="A135" s="442" t="s">
        <v>136</v>
      </c>
      <c r="B135" s="443"/>
      <c r="C135" s="444">
        <v>5.1874000000000003E-2</v>
      </c>
      <c r="D135" s="444"/>
      <c r="E135" s="445">
        <f>G130*C135</f>
        <v>38591.06962958361</v>
      </c>
      <c r="F135" s="445"/>
      <c r="G135" s="83">
        <f>E135/13</f>
        <v>2968.5438176602775</v>
      </c>
    </row>
    <row r="136" spans="1:7" ht="15.75" thickBot="1">
      <c r="A136" s="272"/>
      <c r="B136" s="272"/>
      <c r="C136" s="272"/>
      <c r="D136" s="272"/>
      <c r="E136" s="272"/>
      <c r="F136" s="272"/>
      <c r="G136" s="272"/>
    </row>
    <row r="137" spans="1:7" ht="15.75" thickBot="1">
      <c r="A137" s="252" t="s">
        <v>138</v>
      </c>
      <c r="B137" s="250"/>
      <c r="C137" s="250"/>
      <c r="D137" s="250"/>
      <c r="E137" s="250"/>
      <c r="F137" s="250"/>
      <c r="G137" s="121">
        <f>G31+G55+G98+G135</f>
        <v>5711.2399647203392</v>
      </c>
    </row>
    <row r="138" spans="1:7">
      <c r="A138" s="272"/>
      <c r="B138" s="272"/>
      <c r="C138" s="272"/>
      <c r="D138" s="272"/>
      <c r="E138" s="272"/>
      <c r="F138" s="272"/>
      <c r="G138" s="272"/>
    </row>
    <row r="139" spans="1:7" ht="21.75" customHeight="1" thickBot="1">
      <c r="A139" s="413" t="s">
        <v>56</v>
      </c>
      <c r="B139" s="413"/>
      <c r="C139" s="413"/>
      <c r="D139" s="413"/>
      <c r="E139" s="413"/>
      <c r="F139" s="413"/>
      <c r="G139" s="413"/>
    </row>
    <row r="140" spans="1:7" ht="18" customHeight="1">
      <c r="A140" s="457" t="s">
        <v>139</v>
      </c>
      <c r="B140" s="458"/>
      <c r="C140" s="458"/>
      <c r="D140" s="458"/>
      <c r="E140" s="459"/>
      <c r="F140" s="190"/>
      <c r="G140" s="82">
        <f>F141*13</f>
        <v>74246.119541364416</v>
      </c>
    </row>
    <row r="141" spans="1:7" ht="18" customHeight="1">
      <c r="A141" s="453" t="s">
        <v>60</v>
      </c>
      <c r="B141" s="454"/>
      <c r="C141" s="454"/>
      <c r="D141" s="454"/>
      <c r="E141" s="455"/>
      <c r="F141" s="108">
        <f>G137</f>
        <v>5711.2399647203392</v>
      </c>
      <c r="G141" s="191"/>
    </row>
    <row r="142" spans="1:7" ht="18" customHeight="1">
      <c r="A142" s="453" t="s">
        <v>140</v>
      </c>
      <c r="B142" s="454"/>
      <c r="C142" s="454"/>
      <c r="D142" s="454"/>
      <c r="E142" s="455"/>
      <c r="F142" s="108">
        <f>-F141*41%+444.167</f>
        <v>-1897.4413855353391</v>
      </c>
      <c r="G142" s="191"/>
    </row>
    <row r="143" spans="1:7" ht="18" customHeight="1">
      <c r="A143" s="453" t="s">
        <v>141</v>
      </c>
      <c r="B143" s="454"/>
      <c r="C143" s="454"/>
      <c r="D143" s="454"/>
      <c r="E143" s="456"/>
      <c r="F143" s="108"/>
      <c r="G143" s="191">
        <f>-G140*3%/11</f>
        <v>-202.48941693099385</v>
      </c>
    </row>
    <row r="144" spans="1:7" ht="18" customHeight="1">
      <c r="A144" s="446" t="s">
        <v>142</v>
      </c>
      <c r="B144" s="447"/>
      <c r="C144" s="447"/>
      <c r="D144" s="447"/>
      <c r="E144" s="448"/>
      <c r="F144" s="193">
        <f>F141+F142</f>
        <v>3813.7985791850001</v>
      </c>
      <c r="G144" s="191"/>
    </row>
    <row r="145" spans="1:7" ht="18" customHeight="1" thickBot="1">
      <c r="A145" s="449" t="s">
        <v>143</v>
      </c>
      <c r="B145" s="450"/>
      <c r="C145" s="450"/>
      <c r="D145" s="450"/>
      <c r="E145" s="451"/>
      <c r="F145" s="128">
        <f>F141*59%</f>
        <v>3369.6315791850002</v>
      </c>
      <c r="G145" s="192"/>
    </row>
    <row r="146" spans="1:7" ht="15.75" thickBot="1">
      <c r="A146" s="452"/>
      <c r="B146" s="452"/>
      <c r="C146" s="452"/>
      <c r="D146" s="452"/>
      <c r="E146" s="452"/>
      <c r="F146" s="452"/>
      <c r="G146" s="452"/>
    </row>
    <row r="147" spans="1:7" ht="15.75" thickBot="1">
      <c r="A147" s="438" t="s">
        <v>144</v>
      </c>
      <c r="B147" s="439"/>
      <c r="C147" s="439"/>
      <c r="D147" s="439"/>
      <c r="E147" s="439"/>
      <c r="F147" s="439"/>
      <c r="G147" s="440"/>
    </row>
  </sheetData>
  <mergeCells count="78">
    <mergeCell ref="A5:F5"/>
    <mergeCell ref="E31:F31"/>
    <mergeCell ref="A24:G24"/>
    <mergeCell ref="A22:G22"/>
    <mergeCell ref="A27:C27"/>
    <mergeCell ref="A28:C28"/>
    <mergeCell ref="A29:C29"/>
    <mergeCell ref="A30:C30"/>
    <mergeCell ref="A31:C31"/>
    <mergeCell ref="A23:C23"/>
    <mergeCell ref="A25:G25"/>
    <mergeCell ref="A26:C26"/>
    <mergeCell ref="A32:G32"/>
    <mergeCell ref="A33:G33"/>
    <mergeCell ref="C46:F46"/>
    <mergeCell ref="A48:C48"/>
    <mergeCell ref="A1:G1"/>
    <mergeCell ref="A3:G3"/>
    <mergeCell ref="A12:G12"/>
    <mergeCell ref="A13:G13"/>
    <mergeCell ref="C21:F21"/>
    <mergeCell ref="A9:F9"/>
    <mergeCell ref="A10:F10"/>
    <mergeCell ref="A11:F11"/>
    <mergeCell ref="A4:G4"/>
    <mergeCell ref="A6:F6"/>
    <mergeCell ref="A7:F7"/>
    <mergeCell ref="A8:F8"/>
    <mergeCell ref="A55:C55"/>
    <mergeCell ref="E55:F55"/>
    <mergeCell ref="H48:J48"/>
    <mergeCell ref="A50:G50"/>
    <mergeCell ref="A51:C51"/>
    <mergeCell ref="A52:C52"/>
    <mergeCell ref="A49:G49"/>
    <mergeCell ref="A98:C98"/>
    <mergeCell ref="E98:F98"/>
    <mergeCell ref="A47:G47"/>
    <mergeCell ref="A91:C91"/>
    <mergeCell ref="A92:G92"/>
    <mergeCell ref="A93:G93"/>
    <mergeCell ref="A94:C94"/>
    <mergeCell ref="A95:C95"/>
    <mergeCell ref="A96:C96"/>
    <mergeCell ref="A97:C97"/>
    <mergeCell ref="A56:G56"/>
    <mergeCell ref="A57:G57"/>
    <mergeCell ref="C89:F89"/>
    <mergeCell ref="A90:G90"/>
    <mergeCell ref="A53:C53"/>
    <mergeCell ref="A54:C54"/>
    <mergeCell ref="A130:F130"/>
    <mergeCell ref="A99:G99"/>
    <mergeCell ref="A100:G100"/>
    <mergeCell ref="I102:J102"/>
    <mergeCell ref="A101:G101"/>
    <mergeCell ref="A141:E141"/>
    <mergeCell ref="A142:E142"/>
    <mergeCell ref="A143:E143"/>
    <mergeCell ref="A138:G138"/>
    <mergeCell ref="A139:G139"/>
    <mergeCell ref="A140:E140"/>
    <mergeCell ref="A147:G147"/>
    <mergeCell ref="A2:G2"/>
    <mergeCell ref="A131:G131"/>
    <mergeCell ref="A132:G132"/>
    <mergeCell ref="A133:G133"/>
    <mergeCell ref="A135:B135"/>
    <mergeCell ref="A134:B134"/>
    <mergeCell ref="C134:D134"/>
    <mergeCell ref="C135:D135"/>
    <mergeCell ref="E134:F134"/>
    <mergeCell ref="E135:F135"/>
    <mergeCell ref="A136:G136"/>
    <mergeCell ref="A137:F137"/>
    <mergeCell ref="A144:E144"/>
    <mergeCell ref="A145:E145"/>
    <mergeCell ref="A146:G14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sqref="A1:G1"/>
    </sheetView>
  </sheetViews>
  <sheetFormatPr defaultRowHeight="15"/>
  <cols>
    <col min="1" max="1" width="6.28515625" customWidth="1"/>
    <col min="2" max="2" width="7.28515625" customWidth="1"/>
    <col min="3" max="3" width="8.42578125" customWidth="1"/>
    <col min="4" max="4" width="14.140625" customWidth="1"/>
    <col min="5" max="5" width="13.28515625" customWidth="1"/>
    <col min="6" max="6" width="17.42578125" customWidth="1"/>
    <col min="7" max="7" width="18.7109375" customWidth="1"/>
  </cols>
  <sheetData>
    <row r="1" spans="1:7" ht="57" customHeight="1" thickBot="1">
      <c r="A1" s="253" t="s">
        <v>146</v>
      </c>
      <c r="B1" s="254"/>
      <c r="C1" s="254"/>
      <c r="D1" s="254"/>
      <c r="E1" s="254"/>
      <c r="F1" s="254"/>
      <c r="G1" s="256"/>
    </row>
    <row r="2" spans="1:7" ht="20.25" customHeight="1" thickBot="1">
      <c r="A2" s="272"/>
      <c r="B2" s="272"/>
      <c r="C2" s="272"/>
      <c r="D2" s="272"/>
      <c r="E2" s="272"/>
      <c r="F2" s="272"/>
      <c r="G2" s="272"/>
    </row>
    <row r="3" spans="1:7" ht="39.75" customHeight="1" thickBot="1">
      <c r="A3" s="285" t="s">
        <v>148</v>
      </c>
      <c r="B3" s="286"/>
      <c r="C3" s="286"/>
      <c r="D3" s="286"/>
      <c r="E3" s="286"/>
      <c r="F3" s="286"/>
      <c r="G3" s="287"/>
    </row>
    <row r="4" spans="1:7" ht="21" customHeight="1">
      <c r="A4" s="272"/>
      <c r="B4" s="272"/>
      <c r="C4" s="272"/>
      <c r="D4" s="272"/>
      <c r="E4" s="272"/>
      <c r="F4" s="272"/>
      <c r="G4" s="272"/>
    </row>
    <row r="5" spans="1:7" ht="22.5" customHeight="1" thickBot="1">
      <c r="A5" s="249" t="s">
        <v>145</v>
      </c>
      <c r="B5" s="249"/>
      <c r="C5" s="249"/>
      <c r="D5" s="249"/>
      <c r="E5" s="249"/>
      <c r="F5" s="249"/>
      <c r="G5" s="249"/>
    </row>
    <row r="6" spans="1:7" ht="15.75" thickBot="1">
      <c r="A6" s="25" t="s">
        <v>27</v>
      </c>
      <c r="B6" s="205" t="s">
        <v>111</v>
      </c>
      <c r="C6" s="205" t="s">
        <v>129</v>
      </c>
      <c r="D6" s="205" t="s">
        <v>47</v>
      </c>
      <c r="E6" s="205" t="s">
        <v>130</v>
      </c>
      <c r="F6" s="207" t="s">
        <v>131</v>
      </c>
      <c r="G6" s="222" t="s">
        <v>55</v>
      </c>
    </row>
    <row r="7" spans="1:7" ht="14.45" customHeight="1">
      <c r="A7" s="220">
        <v>2001</v>
      </c>
      <c r="B7" s="36">
        <v>39</v>
      </c>
      <c r="C7" s="208">
        <v>0.33</v>
      </c>
      <c r="D7" s="206">
        <v>28500</v>
      </c>
      <c r="E7" s="206">
        <f>D7/52*B7*C7</f>
        <v>7053.75</v>
      </c>
      <c r="F7" s="221"/>
      <c r="G7" s="206">
        <f>E7</f>
        <v>7053.75</v>
      </c>
    </row>
    <row r="8" spans="1:7" ht="14.45" customHeight="1">
      <c r="A8" s="209">
        <v>2002</v>
      </c>
      <c r="B8" s="150">
        <v>52</v>
      </c>
      <c r="C8" s="152">
        <v>0.33</v>
      </c>
      <c r="D8" s="148">
        <v>29000</v>
      </c>
      <c r="E8" s="148">
        <f t="shared" ref="E8:E47" si="0">D8/52*B8*C8</f>
        <v>9570.0000000000018</v>
      </c>
      <c r="F8" s="179">
        <v>1.0620540000000001</v>
      </c>
      <c r="G8" s="148">
        <f>G7*F8+E8</f>
        <v>17061.463402500001</v>
      </c>
    </row>
    <row r="9" spans="1:7" ht="14.45" customHeight="1">
      <c r="A9" s="209">
        <v>2003</v>
      </c>
      <c r="B9" s="150">
        <v>52</v>
      </c>
      <c r="C9" s="152">
        <v>0.33</v>
      </c>
      <c r="D9" s="148">
        <v>29600</v>
      </c>
      <c r="E9" s="148">
        <f t="shared" si="0"/>
        <v>9768.0000000000018</v>
      </c>
      <c r="F9" s="179">
        <v>1.055871</v>
      </c>
      <c r="G9" s="148">
        <f>G8*F9+E9</f>
        <v>27782.704424261079</v>
      </c>
    </row>
    <row r="10" spans="1:7" ht="14.45" customHeight="1">
      <c r="A10" s="209">
        <v>2004</v>
      </c>
      <c r="B10" s="150">
        <v>52</v>
      </c>
      <c r="C10" s="152">
        <v>0.33</v>
      </c>
      <c r="D10" s="178">
        <v>30000</v>
      </c>
      <c r="E10" s="148">
        <f t="shared" si="0"/>
        <v>9900</v>
      </c>
      <c r="F10" s="179">
        <v>1.0535969999999999</v>
      </c>
      <c r="G10" s="148">
        <f t="shared" ref="G10:G47" si="1">G9*F10+E10</f>
        <v>39171.774033288195</v>
      </c>
    </row>
    <row r="11" spans="1:7" ht="14.45" customHeight="1">
      <c r="A11" s="209">
        <v>2005</v>
      </c>
      <c r="B11" s="150">
        <v>52</v>
      </c>
      <c r="C11" s="152">
        <v>0.33</v>
      </c>
      <c r="D11" s="178">
        <v>31000</v>
      </c>
      <c r="E11" s="148">
        <f t="shared" si="0"/>
        <v>10230</v>
      </c>
      <c r="F11" s="179">
        <v>1.056503</v>
      </c>
      <c r="G11" s="148">
        <f t="shared" si="1"/>
        <v>51615.096781491076</v>
      </c>
    </row>
    <row r="12" spans="1:7" ht="14.45" customHeight="1">
      <c r="A12" s="209">
        <v>2006</v>
      </c>
      <c r="B12" s="150">
        <v>52</v>
      </c>
      <c r="C12" s="152">
        <v>0.33</v>
      </c>
      <c r="D12" s="178">
        <v>32000</v>
      </c>
      <c r="E12" s="148">
        <f t="shared" si="0"/>
        <v>10560</v>
      </c>
      <c r="F12" s="179">
        <v>1.0517810000000001</v>
      </c>
      <c r="G12" s="148">
        <f t="shared" si="1"/>
        <v>64847.778107933467</v>
      </c>
    </row>
    <row r="13" spans="1:7" ht="14.45" customHeight="1">
      <c r="A13" s="209">
        <v>2007</v>
      </c>
      <c r="B13" s="150">
        <v>52</v>
      </c>
      <c r="C13" s="152">
        <v>0.33</v>
      </c>
      <c r="D13" s="178">
        <v>33000</v>
      </c>
      <c r="E13" s="148">
        <f t="shared" si="0"/>
        <v>10890</v>
      </c>
      <c r="F13" s="180">
        <v>1.0477810000000001</v>
      </c>
      <c r="G13" s="148">
        <f t="shared" si="1"/>
        <v>78836.269793708634</v>
      </c>
    </row>
    <row r="14" spans="1:7" ht="14.45" customHeight="1">
      <c r="A14" s="209">
        <v>2008</v>
      </c>
      <c r="B14" s="150">
        <v>52</v>
      </c>
      <c r="C14" s="152">
        <v>0.33</v>
      </c>
      <c r="D14" s="164">
        <v>34500</v>
      </c>
      <c r="E14" s="148">
        <f t="shared" si="0"/>
        <v>11385</v>
      </c>
      <c r="F14" s="180">
        <v>1.043698</v>
      </c>
      <c r="G14" s="148">
        <f t="shared" si="1"/>
        <v>93666.257111154118</v>
      </c>
    </row>
    <row r="15" spans="1:7" ht="14.45" customHeight="1">
      <c r="A15" s="209">
        <v>2009</v>
      </c>
      <c r="B15" s="150">
        <v>52</v>
      </c>
      <c r="C15" s="152">
        <v>0.33</v>
      </c>
      <c r="D15" s="164">
        <v>36000</v>
      </c>
      <c r="E15" s="148">
        <f t="shared" si="0"/>
        <v>11880</v>
      </c>
      <c r="F15" s="180">
        <v>1.041614</v>
      </c>
      <c r="G15" s="148">
        <f t="shared" si="1"/>
        <v>109444.08473457769</v>
      </c>
    </row>
    <row r="16" spans="1:7" ht="14.45" customHeight="1">
      <c r="A16" s="209">
        <v>2010</v>
      </c>
      <c r="B16" s="150">
        <v>52</v>
      </c>
      <c r="C16" s="152">
        <v>0.33</v>
      </c>
      <c r="D16" s="164">
        <v>37500</v>
      </c>
      <c r="E16" s="148">
        <f t="shared" si="0"/>
        <v>12375</v>
      </c>
      <c r="F16" s="180">
        <v>1.039272</v>
      </c>
      <c r="G16" s="148">
        <f t="shared" si="1"/>
        <v>126117.17283027402</v>
      </c>
    </row>
    <row r="17" spans="1:7" ht="14.45" customHeight="1">
      <c r="A17" s="209">
        <v>2011</v>
      </c>
      <c r="B17" s="150">
        <v>52</v>
      </c>
      <c r="C17" s="152">
        <v>0.33</v>
      </c>
      <c r="D17" s="164">
        <v>38000</v>
      </c>
      <c r="E17" s="148">
        <f t="shared" si="0"/>
        <v>12540</v>
      </c>
      <c r="F17" s="180">
        <v>1.0405059999999999</v>
      </c>
      <c r="G17" s="148">
        <f t="shared" si="1"/>
        <v>143765.67503293708</v>
      </c>
    </row>
    <row r="18" spans="1:7" ht="14.45" customHeight="1">
      <c r="A18" s="209">
        <v>2012</v>
      </c>
      <c r="B18" s="150">
        <v>52</v>
      </c>
      <c r="C18" s="152">
        <v>0.33</v>
      </c>
      <c r="D18" s="164">
        <v>40000</v>
      </c>
      <c r="E18" s="148">
        <f t="shared" si="0"/>
        <v>13200</v>
      </c>
      <c r="F18" s="180">
        <v>1.0353859999999999</v>
      </c>
      <c r="G18" s="148">
        <f t="shared" si="1"/>
        <v>162052.96720965259</v>
      </c>
    </row>
    <row r="19" spans="1:7" ht="14.45" customHeight="1">
      <c r="A19" s="209">
        <v>2013</v>
      </c>
      <c r="B19" s="150">
        <v>52</v>
      </c>
      <c r="C19" s="152">
        <v>0.33</v>
      </c>
      <c r="D19" s="164">
        <v>42000</v>
      </c>
      <c r="E19" s="148">
        <f t="shared" si="0"/>
        <v>13860</v>
      </c>
      <c r="F19" s="180">
        <v>1.0339370000000001</v>
      </c>
      <c r="G19" s="148">
        <f t="shared" si="1"/>
        <v>181412.55875784659</v>
      </c>
    </row>
    <row r="20" spans="1:7" ht="14.45" customHeight="1">
      <c r="A20" s="209">
        <v>2014</v>
      </c>
      <c r="B20" s="150">
        <v>52</v>
      </c>
      <c r="C20" s="152">
        <v>0.33</v>
      </c>
      <c r="D20" s="164">
        <v>45000</v>
      </c>
      <c r="E20" s="148">
        <f t="shared" si="0"/>
        <v>14850</v>
      </c>
      <c r="F20" s="180">
        <v>1.0346249999999999</v>
      </c>
      <c r="G20" s="148">
        <f t="shared" si="1"/>
        <v>202543.96860483702</v>
      </c>
    </row>
    <row r="21" spans="1:7" ht="14.45" customHeight="1">
      <c r="A21" s="209">
        <v>2015</v>
      </c>
      <c r="B21" s="150">
        <v>52</v>
      </c>
      <c r="C21" s="152">
        <v>0.33</v>
      </c>
      <c r="D21" s="164">
        <v>47000</v>
      </c>
      <c r="E21" s="148">
        <f t="shared" si="0"/>
        <v>15510</v>
      </c>
      <c r="F21" s="180">
        <v>1.033201</v>
      </c>
      <c r="G21" s="148">
        <f t="shared" si="1"/>
        <v>224778.63090648621</v>
      </c>
    </row>
    <row r="22" spans="1:7" ht="14.45" customHeight="1">
      <c r="A22" s="209">
        <v>2016</v>
      </c>
      <c r="B22" s="150">
        <v>52</v>
      </c>
      <c r="C22" s="152">
        <v>0.33</v>
      </c>
      <c r="D22" s="164">
        <v>49000</v>
      </c>
      <c r="E22" s="148">
        <f t="shared" si="0"/>
        <v>16170</v>
      </c>
      <c r="F22" s="180">
        <v>1.017935</v>
      </c>
      <c r="G22" s="148">
        <f t="shared" si="1"/>
        <v>244980.03565179405</v>
      </c>
    </row>
    <row r="23" spans="1:7" ht="14.45" customHeight="1">
      <c r="A23" s="209">
        <v>2017</v>
      </c>
      <c r="B23" s="150">
        <v>52</v>
      </c>
      <c r="C23" s="152">
        <v>0.33</v>
      </c>
      <c r="D23" s="164">
        <v>52000</v>
      </c>
      <c r="E23" s="148">
        <f t="shared" si="0"/>
        <v>17160</v>
      </c>
      <c r="F23" s="150">
        <v>1.016165</v>
      </c>
      <c r="G23" s="148">
        <f t="shared" si="1"/>
        <v>266100.13792810531</v>
      </c>
    </row>
    <row r="24" spans="1:7" ht="14.45" customHeight="1">
      <c r="A24" s="209">
        <v>2018</v>
      </c>
      <c r="B24" s="150">
        <v>52</v>
      </c>
      <c r="C24" s="152">
        <v>0.33</v>
      </c>
      <c r="D24" s="164">
        <v>56000</v>
      </c>
      <c r="E24" s="148">
        <f t="shared" si="0"/>
        <v>18480</v>
      </c>
      <c r="F24" s="150">
        <v>1.011344</v>
      </c>
      <c r="G24" s="148">
        <f t="shared" si="1"/>
        <v>287598.77789276175</v>
      </c>
    </row>
    <row r="25" spans="1:7" ht="14.45" customHeight="1">
      <c r="A25" s="209">
        <v>2019</v>
      </c>
      <c r="B25" s="150">
        <v>52</v>
      </c>
      <c r="C25" s="152">
        <v>0.33</v>
      </c>
      <c r="D25" s="164">
        <v>60000</v>
      </c>
      <c r="E25" s="148">
        <f t="shared" si="0"/>
        <v>19800</v>
      </c>
      <c r="F25" s="149">
        <v>1.0016430000000001</v>
      </c>
      <c r="G25" s="148">
        <f t="shared" si="1"/>
        <v>307871.30268483958</v>
      </c>
    </row>
    <row r="26" spans="1:7" ht="14.45" customHeight="1">
      <c r="A26" s="210">
        <v>2020</v>
      </c>
      <c r="B26" s="150">
        <v>52</v>
      </c>
      <c r="C26" s="152">
        <v>0.33</v>
      </c>
      <c r="D26" s="164">
        <v>63000</v>
      </c>
      <c r="E26" s="148">
        <f t="shared" si="0"/>
        <v>20790</v>
      </c>
      <c r="F26" s="149">
        <v>1</v>
      </c>
      <c r="G26" s="148">
        <f t="shared" si="1"/>
        <v>328661.30268483958</v>
      </c>
    </row>
    <row r="27" spans="1:7" ht="14.45" customHeight="1">
      <c r="A27" s="210">
        <v>2021</v>
      </c>
      <c r="B27" s="150">
        <v>52</v>
      </c>
      <c r="C27" s="152">
        <v>0.33</v>
      </c>
      <c r="D27" s="164">
        <v>65000</v>
      </c>
      <c r="E27" s="148">
        <f t="shared" si="0"/>
        <v>21450</v>
      </c>
      <c r="F27" s="150">
        <v>1.005058</v>
      </c>
      <c r="G27" s="148">
        <f t="shared" si="1"/>
        <v>351773.6715538195</v>
      </c>
    </row>
    <row r="28" spans="1:7" ht="14.45" customHeight="1">
      <c r="A28" s="209">
        <v>2022</v>
      </c>
      <c r="B28" s="150">
        <v>52</v>
      </c>
      <c r="C28" s="152">
        <v>0.33</v>
      </c>
      <c r="D28" s="164">
        <v>67000</v>
      </c>
      <c r="E28" s="148">
        <f t="shared" si="0"/>
        <v>22110</v>
      </c>
      <c r="F28" s="150">
        <v>1.0046839999999999</v>
      </c>
      <c r="G28" s="148">
        <f t="shared" si="1"/>
        <v>375531.37943137757</v>
      </c>
    </row>
    <row r="29" spans="1:7" ht="14.45" customHeight="1">
      <c r="A29" s="209">
        <v>2023</v>
      </c>
      <c r="B29" s="150">
        <v>52</v>
      </c>
      <c r="C29" s="152">
        <v>0.33</v>
      </c>
      <c r="D29" s="164">
        <v>70000</v>
      </c>
      <c r="E29" s="148">
        <f t="shared" si="0"/>
        <v>23100</v>
      </c>
      <c r="F29" s="183">
        <v>1</v>
      </c>
      <c r="G29" s="148">
        <f t="shared" si="1"/>
        <v>398631.37943137757</v>
      </c>
    </row>
    <row r="30" spans="1:7" ht="14.45" customHeight="1">
      <c r="A30" s="209">
        <v>2024</v>
      </c>
      <c r="B30" s="150">
        <v>52</v>
      </c>
      <c r="C30" s="152">
        <v>0.33</v>
      </c>
      <c r="D30" s="164">
        <v>72000</v>
      </c>
      <c r="E30" s="148">
        <f t="shared" si="0"/>
        <v>23760</v>
      </c>
      <c r="F30" s="183">
        <v>1</v>
      </c>
      <c r="G30" s="148">
        <f t="shared" si="1"/>
        <v>422391.37943137757</v>
      </c>
    </row>
    <row r="31" spans="1:7" ht="14.45" customHeight="1">
      <c r="A31" s="210">
        <v>2025</v>
      </c>
      <c r="B31" s="150">
        <v>52</v>
      </c>
      <c r="C31" s="152">
        <v>0.33</v>
      </c>
      <c r="D31" s="164">
        <v>74000</v>
      </c>
      <c r="E31" s="148">
        <f t="shared" si="0"/>
        <v>24420</v>
      </c>
      <c r="F31" s="183">
        <v>1</v>
      </c>
      <c r="G31" s="148">
        <f t="shared" si="1"/>
        <v>446811.37943137757</v>
      </c>
    </row>
    <row r="32" spans="1:7" ht="14.45" customHeight="1">
      <c r="A32" s="210">
        <v>2026</v>
      </c>
      <c r="B32" s="150">
        <v>52</v>
      </c>
      <c r="C32" s="152">
        <v>0.33</v>
      </c>
      <c r="D32" s="164">
        <v>76000</v>
      </c>
      <c r="E32" s="148">
        <f t="shared" si="0"/>
        <v>25080</v>
      </c>
      <c r="F32" s="183">
        <v>1</v>
      </c>
      <c r="G32" s="148">
        <f t="shared" si="1"/>
        <v>471891.37943137757</v>
      </c>
    </row>
    <row r="33" spans="1:7" ht="14.45" customHeight="1">
      <c r="A33" s="210">
        <v>2027</v>
      </c>
      <c r="B33" s="150">
        <v>52</v>
      </c>
      <c r="C33" s="152">
        <v>0.33</v>
      </c>
      <c r="D33" s="164">
        <v>78000</v>
      </c>
      <c r="E33" s="148">
        <f t="shared" si="0"/>
        <v>25740</v>
      </c>
      <c r="F33" s="183">
        <v>1</v>
      </c>
      <c r="G33" s="148">
        <f t="shared" si="1"/>
        <v>497631.37943137757</v>
      </c>
    </row>
    <row r="34" spans="1:7" ht="14.45" customHeight="1">
      <c r="A34" s="210">
        <v>2028</v>
      </c>
      <c r="B34" s="150">
        <v>52</v>
      </c>
      <c r="C34" s="152">
        <v>0.33</v>
      </c>
      <c r="D34" s="164">
        <v>80000</v>
      </c>
      <c r="E34" s="148">
        <f t="shared" si="0"/>
        <v>26400</v>
      </c>
      <c r="F34" s="183">
        <v>1</v>
      </c>
      <c r="G34" s="148">
        <f t="shared" si="1"/>
        <v>524031.37943137757</v>
      </c>
    </row>
    <row r="35" spans="1:7" ht="14.45" customHeight="1">
      <c r="A35" s="210">
        <v>2029</v>
      </c>
      <c r="B35" s="150">
        <v>52</v>
      </c>
      <c r="C35" s="152">
        <v>0.33</v>
      </c>
      <c r="D35" s="164">
        <v>82000</v>
      </c>
      <c r="E35" s="148">
        <f t="shared" si="0"/>
        <v>27060</v>
      </c>
      <c r="F35" s="183">
        <v>1</v>
      </c>
      <c r="G35" s="148">
        <f t="shared" si="1"/>
        <v>551091.37943137763</v>
      </c>
    </row>
    <row r="36" spans="1:7" ht="14.45" customHeight="1">
      <c r="A36" s="210">
        <v>2030</v>
      </c>
      <c r="B36" s="150">
        <v>52</v>
      </c>
      <c r="C36" s="152">
        <v>0.33</v>
      </c>
      <c r="D36" s="164">
        <v>84000</v>
      </c>
      <c r="E36" s="148">
        <f t="shared" si="0"/>
        <v>27720</v>
      </c>
      <c r="F36" s="183">
        <v>1</v>
      </c>
      <c r="G36" s="148">
        <f t="shared" si="1"/>
        <v>578811.37943137763</v>
      </c>
    </row>
    <row r="37" spans="1:7" ht="14.45" customHeight="1">
      <c r="A37" s="210">
        <v>2031</v>
      </c>
      <c r="B37" s="150">
        <v>52</v>
      </c>
      <c r="C37" s="152">
        <v>0.33</v>
      </c>
      <c r="D37" s="164">
        <v>86000</v>
      </c>
      <c r="E37" s="148">
        <f t="shared" si="0"/>
        <v>28380</v>
      </c>
      <c r="F37" s="183">
        <v>1</v>
      </c>
      <c r="G37" s="148">
        <f t="shared" si="1"/>
        <v>607191.37943137763</v>
      </c>
    </row>
    <row r="38" spans="1:7" ht="14.45" customHeight="1">
      <c r="A38" s="210">
        <v>2032</v>
      </c>
      <c r="B38" s="150">
        <v>52</v>
      </c>
      <c r="C38" s="152">
        <v>0.33</v>
      </c>
      <c r="D38" s="164">
        <v>88000</v>
      </c>
      <c r="E38" s="148">
        <f t="shared" si="0"/>
        <v>29040</v>
      </c>
      <c r="F38" s="183">
        <v>1</v>
      </c>
      <c r="G38" s="148">
        <f t="shared" si="1"/>
        <v>636231.37943137763</v>
      </c>
    </row>
    <row r="39" spans="1:7" ht="14.45" customHeight="1">
      <c r="A39" s="210">
        <v>2033</v>
      </c>
      <c r="B39" s="150">
        <v>52</v>
      </c>
      <c r="C39" s="152">
        <v>0.33</v>
      </c>
      <c r="D39" s="164">
        <v>90000</v>
      </c>
      <c r="E39" s="148">
        <f t="shared" si="0"/>
        <v>29700</v>
      </c>
      <c r="F39" s="183">
        <v>1</v>
      </c>
      <c r="G39" s="148">
        <f t="shared" si="1"/>
        <v>665931.37943137763</v>
      </c>
    </row>
    <row r="40" spans="1:7" ht="14.45" customHeight="1">
      <c r="A40" s="210">
        <v>2034</v>
      </c>
      <c r="B40" s="150">
        <v>52</v>
      </c>
      <c r="C40" s="152">
        <v>0.33</v>
      </c>
      <c r="D40" s="164">
        <v>92000</v>
      </c>
      <c r="E40" s="148">
        <f t="shared" si="0"/>
        <v>30360</v>
      </c>
      <c r="F40" s="183">
        <v>1</v>
      </c>
      <c r="G40" s="148">
        <f t="shared" si="1"/>
        <v>696291.37943137763</v>
      </c>
    </row>
    <row r="41" spans="1:7" ht="14.45" customHeight="1">
      <c r="A41" s="210">
        <v>2035</v>
      </c>
      <c r="B41" s="150">
        <v>52</v>
      </c>
      <c r="C41" s="152">
        <v>0.33</v>
      </c>
      <c r="D41" s="164">
        <v>94000</v>
      </c>
      <c r="E41" s="148">
        <f t="shared" si="0"/>
        <v>31020</v>
      </c>
      <c r="F41" s="183">
        <v>1</v>
      </c>
      <c r="G41" s="148">
        <f t="shared" si="1"/>
        <v>727311.37943137763</v>
      </c>
    </row>
    <row r="42" spans="1:7" ht="14.45" customHeight="1">
      <c r="A42" s="210">
        <v>2036</v>
      </c>
      <c r="B42" s="150">
        <v>52</v>
      </c>
      <c r="C42" s="152">
        <v>0.33</v>
      </c>
      <c r="D42" s="164">
        <v>96000</v>
      </c>
      <c r="E42" s="148">
        <f t="shared" si="0"/>
        <v>31680</v>
      </c>
      <c r="F42" s="183">
        <v>1</v>
      </c>
      <c r="G42" s="148">
        <f t="shared" si="1"/>
        <v>758991.37943137763</v>
      </c>
    </row>
    <row r="43" spans="1:7" ht="14.45" customHeight="1">
      <c r="A43" s="210">
        <v>2037</v>
      </c>
      <c r="B43" s="150">
        <v>52</v>
      </c>
      <c r="C43" s="152">
        <v>0.33</v>
      </c>
      <c r="D43" s="164">
        <v>98000</v>
      </c>
      <c r="E43" s="148">
        <f t="shared" si="0"/>
        <v>32340</v>
      </c>
      <c r="F43" s="183">
        <v>1</v>
      </c>
      <c r="G43" s="148">
        <f t="shared" si="1"/>
        <v>791331.37943137763</v>
      </c>
    </row>
    <row r="44" spans="1:7" ht="14.45" customHeight="1">
      <c r="A44" s="210">
        <v>2038</v>
      </c>
      <c r="B44" s="150">
        <v>52</v>
      </c>
      <c r="C44" s="152">
        <v>0.33</v>
      </c>
      <c r="D44" s="164">
        <v>100000</v>
      </c>
      <c r="E44" s="148">
        <f t="shared" si="0"/>
        <v>33000</v>
      </c>
      <c r="F44" s="183">
        <v>1</v>
      </c>
      <c r="G44" s="148">
        <f t="shared" si="1"/>
        <v>824331.37943137763</v>
      </c>
    </row>
    <row r="45" spans="1:7" ht="14.45" customHeight="1">
      <c r="A45" s="210">
        <v>2039</v>
      </c>
      <c r="B45" s="150">
        <v>52</v>
      </c>
      <c r="C45" s="152">
        <v>0.33</v>
      </c>
      <c r="D45" s="164">
        <v>105000</v>
      </c>
      <c r="E45" s="148">
        <f t="shared" si="0"/>
        <v>34650</v>
      </c>
      <c r="F45" s="183">
        <v>1</v>
      </c>
      <c r="G45" s="148">
        <f t="shared" si="1"/>
        <v>858981.37943137763</v>
      </c>
    </row>
    <row r="46" spans="1:7" ht="14.45" customHeight="1">
      <c r="A46" s="210">
        <v>2040</v>
      </c>
      <c r="B46" s="150">
        <v>52</v>
      </c>
      <c r="C46" s="152">
        <v>0.33</v>
      </c>
      <c r="D46" s="164">
        <v>111000</v>
      </c>
      <c r="E46" s="148">
        <f t="shared" si="0"/>
        <v>36630</v>
      </c>
      <c r="F46" s="183">
        <v>1</v>
      </c>
      <c r="G46" s="148">
        <f t="shared" si="1"/>
        <v>895611.37943137763</v>
      </c>
    </row>
    <row r="47" spans="1:7" ht="14.45" customHeight="1" thickBot="1">
      <c r="A47" s="223">
        <v>2041</v>
      </c>
      <c r="B47" s="60">
        <v>17</v>
      </c>
      <c r="C47" s="212">
        <v>0.33</v>
      </c>
      <c r="D47" s="185">
        <v>111000</v>
      </c>
      <c r="E47" s="213">
        <f t="shared" si="0"/>
        <v>11975.192307692309</v>
      </c>
      <c r="F47" s="186">
        <v>1</v>
      </c>
      <c r="G47" s="213">
        <f t="shared" si="1"/>
        <v>907586.57173906988</v>
      </c>
    </row>
    <row r="48" spans="1:7" ht="15.75" thickBot="1">
      <c r="A48" s="252" t="s">
        <v>132</v>
      </c>
      <c r="B48" s="250"/>
      <c r="C48" s="250"/>
      <c r="D48" s="250"/>
      <c r="E48" s="250"/>
      <c r="F48" s="250"/>
      <c r="G48" s="211">
        <f>G47</f>
        <v>907586.57173906988</v>
      </c>
    </row>
    <row r="49" spans="1:7">
      <c r="A49" s="361"/>
      <c r="B49" s="361"/>
      <c r="C49" s="361"/>
      <c r="D49" s="361"/>
      <c r="E49" s="361"/>
      <c r="F49" s="361"/>
      <c r="G49" s="361"/>
    </row>
    <row r="50" spans="1:7" ht="52.5" customHeight="1" thickBot="1">
      <c r="A50" s="249" t="s">
        <v>151</v>
      </c>
      <c r="B50" s="484"/>
      <c r="C50" s="484"/>
      <c r="D50" s="484"/>
      <c r="E50" s="484"/>
      <c r="F50" s="484"/>
      <c r="G50" s="484"/>
    </row>
    <row r="51" spans="1:7" ht="24.75" customHeight="1" thickBot="1">
      <c r="A51" s="252" t="s">
        <v>134</v>
      </c>
      <c r="B51" s="250"/>
      <c r="C51" s="250" t="s">
        <v>135</v>
      </c>
      <c r="D51" s="250"/>
      <c r="E51" s="250" t="s">
        <v>137</v>
      </c>
      <c r="F51" s="250"/>
      <c r="G51" s="204" t="s">
        <v>90</v>
      </c>
    </row>
    <row r="52" spans="1:7" ht="25.5" customHeight="1" thickBot="1">
      <c r="A52" s="485" t="s">
        <v>147</v>
      </c>
      <c r="B52" s="486"/>
      <c r="C52" s="487">
        <v>5.1707999999999997E-2</v>
      </c>
      <c r="D52" s="487"/>
      <c r="E52" s="488">
        <f>G48*C52</f>
        <v>46929.486451483826</v>
      </c>
      <c r="F52" s="488"/>
      <c r="G52" s="83">
        <f>E52/13</f>
        <v>3609.9604962679869</v>
      </c>
    </row>
    <row r="53" spans="1:7" ht="36" customHeight="1" thickBot="1">
      <c r="A53" s="272"/>
      <c r="B53" s="272"/>
      <c r="C53" s="272"/>
      <c r="D53" s="272"/>
      <c r="E53" s="272"/>
      <c r="F53" s="272"/>
      <c r="G53" s="272"/>
    </row>
    <row r="54" spans="1:7" ht="20.100000000000001" customHeight="1" thickBot="1">
      <c r="A54" s="489" t="s">
        <v>150</v>
      </c>
      <c r="B54" s="490"/>
      <c r="C54" s="490"/>
      <c r="D54" s="490"/>
      <c r="E54" s="490"/>
      <c r="F54" s="490"/>
      <c r="G54" s="151">
        <f>G52</f>
        <v>3609.9604962679869</v>
      </c>
    </row>
    <row r="55" spans="1:7" ht="54" customHeight="1" thickBot="1">
      <c r="A55" s="491" t="s">
        <v>56</v>
      </c>
      <c r="B55" s="491"/>
      <c r="C55" s="491"/>
      <c r="D55" s="491"/>
      <c r="E55" s="491"/>
      <c r="F55" s="491"/>
      <c r="G55" s="491"/>
    </row>
    <row r="56" spans="1:7" ht="20.100000000000001" customHeight="1">
      <c r="A56" s="492" t="s">
        <v>139</v>
      </c>
      <c r="B56" s="493"/>
      <c r="C56" s="493"/>
      <c r="D56" s="493"/>
      <c r="E56" s="494"/>
      <c r="F56" s="214"/>
      <c r="G56" s="215">
        <f>F57*13</f>
        <v>46929.486451483826</v>
      </c>
    </row>
    <row r="57" spans="1:7" ht="20.100000000000001" customHeight="1">
      <c r="A57" s="495" t="s">
        <v>60</v>
      </c>
      <c r="B57" s="496"/>
      <c r="C57" s="496"/>
      <c r="D57" s="496"/>
      <c r="E57" s="497"/>
      <c r="F57" s="216">
        <f>G54</f>
        <v>3609.9604962679869</v>
      </c>
      <c r="G57" s="217"/>
    </row>
    <row r="58" spans="1:7" ht="20.100000000000001" customHeight="1">
      <c r="A58" s="495" t="s">
        <v>140</v>
      </c>
      <c r="B58" s="496"/>
      <c r="C58" s="496"/>
      <c r="D58" s="496"/>
      <c r="E58" s="497"/>
      <c r="F58" s="216">
        <f>-F57*38%+306.667</f>
        <v>-1065.1179885818351</v>
      </c>
      <c r="G58" s="217"/>
    </row>
    <row r="59" spans="1:7" ht="20.100000000000001" customHeight="1">
      <c r="A59" s="495" t="s">
        <v>141</v>
      </c>
      <c r="B59" s="496"/>
      <c r="C59" s="496"/>
      <c r="D59" s="496"/>
      <c r="E59" s="498"/>
      <c r="F59" s="216"/>
      <c r="G59" s="217">
        <f>-G56*3%/11</f>
        <v>-127.9895085040468</v>
      </c>
    </row>
    <row r="60" spans="1:7" ht="20.100000000000001" customHeight="1">
      <c r="A60" s="499" t="s">
        <v>142</v>
      </c>
      <c r="B60" s="500"/>
      <c r="C60" s="500"/>
      <c r="D60" s="500"/>
      <c r="E60" s="501"/>
      <c r="F60" s="193">
        <f>F57+F58</f>
        <v>2544.8425076861517</v>
      </c>
      <c r="G60" s="217"/>
    </row>
    <row r="61" spans="1:7" ht="20.100000000000001" customHeight="1" thickBot="1">
      <c r="A61" s="502" t="s">
        <v>143</v>
      </c>
      <c r="B61" s="503"/>
      <c r="C61" s="503"/>
      <c r="D61" s="503"/>
      <c r="E61" s="504"/>
      <c r="F61" s="218">
        <f>F57*62%</f>
        <v>2238.1755076861518</v>
      </c>
      <c r="G61" s="219"/>
    </row>
    <row r="62" spans="1:7" ht="20.100000000000001" customHeight="1" thickBot="1">
      <c r="A62" s="452"/>
      <c r="B62" s="452"/>
      <c r="C62" s="452"/>
      <c r="D62" s="452"/>
      <c r="E62" s="452"/>
      <c r="F62" s="452"/>
      <c r="G62" s="452"/>
    </row>
    <row r="63" spans="1:7" ht="20.100000000000001" customHeight="1" thickBot="1">
      <c r="A63" s="505" t="s">
        <v>144</v>
      </c>
      <c r="B63" s="506"/>
      <c r="C63" s="506"/>
      <c r="D63" s="506"/>
      <c r="E63" s="506"/>
      <c r="F63" s="506"/>
      <c r="G63" s="507"/>
    </row>
    <row r="66" spans="1:7" ht="15.75" thickBot="1"/>
    <row r="67" spans="1:7" ht="47.25" customHeight="1" thickBot="1">
      <c r="A67" s="481" t="s">
        <v>149</v>
      </c>
      <c r="B67" s="482"/>
      <c r="C67" s="482"/>
      <c r="D67" s="482"/>
      <c r="E67" s="482"/>
      <c r="F67" s="482"/>
      <c r="G67" s="483"/>
    </row>
  </sheetData>
  <mergeCells count="26">
    <mergeCell ref="A59:E59"/>
    <mergeCell ref="A60:E60"/>
    <mergeCell ref="A61:E61"/>
    <mergeCell ref="A62:G62"/>
    <mergeCell ref="A63:G63"/>
    <mergeCell ref="A67:G67"/>
    <mergeCell ref="A48:F48"/>
    <mergeCell ref="A49:G49"/>
    <mergeCell ref="A50:G50"/>
    <mergeCell ref="A51:B51"/>
    <mergeCell ref="C51:D51"/>
    <mergeCell ref="E51:F51"/>
    <mergeCell ref="A52:B52"/>
    <mergeCell ref="C52:D52"/>
    <mergeCell ref="E52:F52"/>
    <mergeCell ref="A53:G53"/>
    <mergeCell ref="A54:F54"/>
    <mergeCell ref="A55:G55"/>
    <mergeCell ref="A56:E56"/>
    <mergeCell ref="A57:E57"/>
    <mergeCell ref="A58:E58"/>
    <mergeCell ref="A1:G1"/>
    <mergeCell ref="A2:G2"/>
    <mergeCell ref="A3:G3"/>
    <mergeCell ref="A5:G5"/>
    <mergeCell ref="A4:G4"/>
  </mergeCells>
  <pageMargins left="0.7" right="0.7" top="0.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Foglio1!Area_stampa</vt:lpstr>
      <vt:lpstr>Foglio2!Area_stampa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4876259</cp:lastModifiedBy>
  <cp:lastPrinted>2017-09-03T10:30:17Z</cp:lastPrinted>
  <dcterms:created xsi:type="dcterms:W3CDTF">2017-07-25T09:27:47Z</dcterms:created>
  <dcterms:modified xsi:type="dcterms:W3CDTF">2017-09-14T10:43:47Z</dcterms:modified>
</cp:coreProperties>
</file>